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7800" activeTab="0"/>
  </bookViews>
  <sheets>
    <sheet name="Weekly Data Sheets" sheetId="1" r:id="rId1"/>
    <sheet name="DV-IDENTITY-0" sheetId="2" state="veryHidden" r:id="rId2"/>
  </sheets>
  <definedNames>
    <definedName name="_xlnm.Print_Area" localSheetId="0">'Weekly Data Sheets'!$B$1:$W$58</definedName>
  </definedNames>
  <calcPr fullCalcOnLoad="1"/>
</workbook>
</file>

<file path=xl/comments1.xml><?xml version="1.0" encoding="utf-8"?>
<comments xmlns="http://schemas.openxmlformats.org/spreadsheetml/2006/main">
  <authors>
    <author>Joseph L .Patt III</author>
    <author>Joseph L. Patt III</author>
  </authors>
  <commentList>
    <comment ref="B11" authorId="0">
      <text>
        <r>
          <rPr>
            <sz val="9"/>
            <rFont val="Arial Narrow"/>
            <family val="2"/>
          </rPr>
          <t>Three diagonal skinfold measurements taken half the distance between the nipple and the upper portion of the pectoral (chest) muscle at the armpit.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sz val="9"/>
            <rFont val="Arial Narrow"/>
            <family val="2"/>
          </rPr>
          <t>Three vertical skinfold measurements taken one inch to the right of the umbilicus (navel).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sz val="9"/>
            <rFont val="Arial Narrow"/>
            <family val="2"/>
          </rPr>
          <t xml:space="preserve">Three vertical skinfold measurements taken half the distance between the patella (knee cap) and the inguinal crease (the skin crease between the thigh and the hip). 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sz val="9"/>
            <rFont val="Arial Narrow"/>
            <family val="2"/>
          </rPr>
          <t>Three vertical skinfold measurements taken half the distance between the acromion process (prominent bone at top of shoulder) and the olecranon process (elbow bone).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sz val="9"/>
            <rFont val="Arial Narrow"/>
            <family val="2"/>
          </rPr>
          <t>Three diagonal skinfold measurements taken on the upper back, just below the inferior (lower) angle of scapula (shoulder blade) at a 45-degree angle approximately parallel to the inferior angle of the scapula.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sz val="9"/>
            <rFont val="Arial Narrow"/>
            <family val="2"/>
          </rPr>
          <t xml:space="preserve">Three diagonal skinfold measurements taken above the superior anterior iliac crest (the area above the upper, forward protrusion of the hip bone). 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sz val="9"/>
            <rFont val="Arial Narrow"/>
            <family val="2"/>
          </rPr>
          <t xml:space="preserve">Three vertical skinfold measurements taken on the midaxillary line (a vertical line descending directly from the center of the armpit) at the level of the nipple. </t>
        </r>
        <r>
          <rPr>
            <sz val="8"/>
            <rFont val="Tahoma"/>
            <family val="2"/>
          </rPr>
          <t xml:space="preserve">
</t>
        </r>
      </text>
    </comment>
    <comment ref="B40" authorId="1">
      <text>
        <r>
          <rPr>
            <sz val="8"/>
            <rFont val="Tahoma"/>
            <family val="2"/>
          </rPr>
          <t>Jackson - Pollock Seven Point Skinfold formula</t>
        </r>
        <r>
          <rPr>
            <sz val="8"/>
            <rFont val="Tahoma"/>
            <family val="2"/>
          </rPr>
          <t xml:space="preserve">
</t>
        </r>
      </text>
    </comment>
    <comment ref="K40" authorId="1">
      <text>
        <r>
          <rPr>
            <sz val="8"/>
            <rFont val="Tahoma"/>
            <family val="2"/>
          </rPr>
          <t>BMI = 703 * weight/height</t>
        </r>
        <r>
          <rPr>
            <vertAlign val="superscript"/>
            <sz val="8"/>
            <rFont val="Tahoma"/>
            <family val="2"/>
          </rPr>
          <t>2</t>
        </r>
      </text>
    </comment>
    <comment ref="B42" authorId="1">
      <text>
        <r>
          <rPr>
            <sz val="8"/>
            <rFont val="Tahoma"/>
            <family val="2"/>
          </rPr>
          <t>Katch-McArdle formula (BMR based on lean body weight)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K42" authorId="1">
      <text>
        <r>
          <rPr>
            <sz val="8"/>
            <rFont val="Tahoma"/>
            <family val="2"/>
          </rPr>
          <t>total Daily Energy Expenditure = Basal Metabolic Rate multiplied by a factor based on activity level.</t>
        </r>
      </text>
    </comment>
  </commentList>
</comments>
</file>

<file path=xl/sharedStrings.xml><?xml version="1.0" encoding="utf-8"?>
<sst xmlns="http://schemas.openxmlformats.org/spreadsheetml/2006/main" count="50" uniqueCount="41">
  <si>
    <t>Date:</t>
  </si>
  <si>
    <t>Resting HR</t>
  </si>
  <si>
    <t>bpm</t>
  </si>
  <si>
    <t>Weight:</t>
  </si>
  <si>
    <t>lbs</t>
  </si>
  <si>
    <t>Age:</t>
  </si>
  <si>
    <t>yr</t>
  </si>
  <si>
    <t>Height:</t>
  </si>
  <si>
    <t>in</t>
  </si>
  <si>
    <t>LBM</t>
  </si>
  <si>
    <t>Skinfold measurements:</t>
  </si>
  <si>
    <t>Pectoral</t>
  </si>
  <si>
    <t>Abdominal</t>
  </si>
  <si>
    <t>Thigh</t>
  </si>
  <si>
    <t>Tricep:</t>
  </si>
  <si>
    <t>Subscapular</t>
  </si>
  <si>
    <t>Suprailiac</t>
  </si>
  <si>
    <t>Axilla</t>
  </si>
  <si>
    <t>Body Fat Percentage:</t>
  </si>
  <si>
    <t>%</t>
  </si>
  <si>
    <t>Body Mass Index:</t>
  </si>
  <si>
    <t>Basal Metabolic Rate:</t>
  </si>
  <si>
    <t>kCal</t>
  </si>
  <si>
    <t>TDEE</t>
  </si>
  <si>
    <r>
      <t>Millimeters(</t>
    </r>
    <r>
      <rPr>
        <i/>
        <sz val="10"/>
        <color indexed="8"/>
        <rFont val="Times New Roman"/>
        <family val="1"/>
      </rPr>
      <t>mm</t>
    </r>
    <r>
      <rPr>
        <sz val="10"/>
        <color indexed="8"/>
        <rFont val="Arial"/>
        <family val="2"/>
      </rPr>
      <t>)</t>
    </r>
  </si>
  <si>
    <t>Body Measurements (inches)</t>
  </si>
  <si>
    <t>Waist</t>
  </si>
  <si>
    <t>Hips</t>
  </si>
  <si>
    <t>Biceps (Flexed)</t>
  </si>
  <si>
    <t>Legs Mid Thigh</t>
  </si>
  <si>
    <t>Left</t>
  </si>
  <si>
    <t>Right</t>
  </si>
  <si>
    <t>Four Hour Body: Body Composition</t>
  </si>
  <si>
    <t>Tim's Recommended Tools for Body Composition:</t>
  </si>
  <si>
    <t>Orbi Tape Measure: The armed services' choice for physical examinations.</t>
  </si>
  <si>
    <t>Slim Guide Skinfold Calipers: These are the most widely used calipers in the world.</t>
  </si>
  <si>
    <t>Escali High-Capacity Bathroom Scale with Body Fat/Body Water Monitoring: works for up to 10 users.</t>
  </si>
  <si>
    <t>AAAAAGO+fuY=</t>
  </si>
  <si>
    <t>AAAAAGO+fuc=</t>
  </si>
  <si>
    <t>Total Inches (TI)</t>
  </si>
  <si>
    <t>Estimated Daily Caloric Need For Weight Loss (1lb/wk): 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</si>
</sst>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i/>
      <sz val="10"/>
      <color indexed="8"/>
      <name val="Times New Roman"/>
      <family val="1"/>
    </font>
    <font>
      <sz val="9"/>
      <name val="Arial Narrow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93300"/>
      <name val="Verdan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3" fillId="0" borderId="0" xfId="53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3" fillId="0" borderId="0" xfId="53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8</xdr:row>
      <xdr:rowOff>19050</xdr:rowOff>
    </xdr:from>
    <xdr:to>
      <xdr:col>17</xdr:col>
      <xdr:colOff>276225</xdr:colOff>
      <xdr:row>36</xdr:row>
      <xdr:rowOff>104775</xdr:rowOff>
    </xdr:to>
    <xdr:pic>
      <xdr:nvPicPr>
        <xdr:cNvPr id="1" name="Picture 12" descr="ant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9650"/>
          <a:ext cx="19050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8</xdr:row>
      <xdr:rowOff>19050</xdr:rowOff>
    </xdr:from>
    <xdr:to>
      <xdr:col>21</xdr:col>
      <xdr:colOff>514350</xdr:colOff>
      <xdr:row>36</xdr:row>
      <xdr:rowOff>114300</xdr:rowOff>
    </xdr:to>
    <xdr:pic>
      <xdr:nvPicPr>
        <xdr:cNvPr id="2" name="Picture 13" descr="posm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1009650"/>
          <a:ext cx="190500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12</xdr:col>
      <xdr:colOff>104775</xdr:colOff>
      <xdr:row>72</xdr:row>
      <xdr:rowOff>114300</xdr:rowOff>
    </xdr:to>
    <xdr:pic>
      <xdr:nvPicPr>
        <xdr:cNvPr id="3" name="Picture 5" descr="http://www.4hourlife.com/wp-content/uploads/2011/04/Essential-Fat-Tab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001125"/>
          <a:ext cx="2876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23</xdr:col>
      <xdr:colOff>428625</xdr:colOff>
      <xdr:row>94</xdr:row>
      <xdr:rowOff>114300</xdr:rowOff>
    </xdr:to>
    <xdr:pic>
      <xdr:nvPicPr>
        <xdr:cNvPr id="4" name="Picture 4" descr="http://howmuchshouldiweighformyheight.com/wp-content/uploads/2009/07/BMI-Chart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458450"/>
          <a:ext cx="66770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gp/product/B000PH2OR0/ref=as_li_ss_tl?ie=UTF8&amp;tag=4hourlife00-20&amp;linkCode=as2&amp;camp=1789&amp;creative=390957&amp;creativeASIN=B000PH2OR0" TargetMode="External" /><Relationship Id="rId2" Type="http://schemas.openxmlformats.org/officeDocument/2006/relationships/hyperlink" Target="http://www.amazon.com/gp/product/B001RO8IOI/ref=as_li_ss_tl?ie=UTF8&amp;tag=4hourlife00-20&amp;linkCode=as2&amp;camp=1789&amp;creative=390957&amp;creativeASIN=B001RO8IOI" TargetMode="External" /><Relationship Id="rId3" Type="http://schemas.openxmlformats.org/officeDocument/2006/relationships/hyperlink" Target="http://www.amazon.com/gp/product/B000NN9SDO/ref=as_li_ss_tl?ie=UTF8&amp;tag=4hourlife00-20&amp;linkCode=as2&amp;camp=1789&amp;creative=390957&amp;creativeASIN=B000NN9SDO" TargetMode="External" /><Relationship Id="rId4" Type="http://schemas.openxmlformats.org/officeDocument/2006/relationships/hyperlink" Target="http://www.4hourlife.com/2011/04/09/4-hour-body-composition-body-fat-calculator-how-do-you-measure-up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Relationship Id="rId9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showGridLines="0" tabSelected="1" zoomScalePageLayoutView="0" workbookViewId="0" topLeftCell="A1">
      <selection activeCell="K6" sqref="K6"/>
    </sheetView>
  </sheetViews>
  <sheetFormatPr defaultColWidth="9.140625" defaultRowHeight="12.75"/>
  <cols>
    <col min="1" max="1" width="1.7109375" style="0" customWidth="1"/>
    <col min="2" max="3" width="4.7109375" style="0" customWidth="1"/>
    <col min="4" max="4" width="1.7109375" style="0" customWidth="1"/>
    <col min="5" max="6" width="4.7109375" style="0" customWidth="1"/>
    <col min="7" max="7" width="1.7109375" style="0" customWidth="1"/>
    <col min="8" max="9" width="4.7109375" style="0" customWidth="1"/>
    <col min="10" max="10" width="1.7109375" style="0" customWidth="1"/>
    <col min="11" max="11" width="4.7109375" style="0" customWidth="1"/>
    <col min="12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2" max="22" width="8.140625" style="0" customWidth="1"/>
    <col min="23" max="23" width="1.7109375" style="0" customWidth="1"/>
  </cols>
  <sheetData>
    <row r="1" spans="1:23" ht="7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thickBot="1">
      <c r="A2" s="1"/>
      <c r="B2" s="37" t="s">
        <v>0</v>
      </c>
      <c r="C2" s="37"/>
      <c r="D2" s="1"/>
      <c r="E2" s="38"/>
      <c r="F2" s="35"/>
      <c r="G2" s="1"/>
      <c r="H2" s="39" t="s">
        <v>1</v>
      </c>
      <c r="I2" s="39"/>
      <c r="J2" s="1"/>
      <c r="K2" s="3"/>
      <c r="L2" s="40" t="s">
        <v>2</v>
      </c>
      <c r="M2" s="41"/>
      <c r="N2" s="1"/>
      <c r="O2" s="1"/>
      <c r="P2" s="33" t="s">
        <v>32</v>
      </c>
      <c r="Q2" s="33"/>
      <c r="R2" s="33"/>
      <c r="S2" s="33"/>
      <c r="T2" s="33"/>
      <c r="U2" s="33"/>
      <c r="V2" s="1"/>
      <c r="W2" s="1"/>
    </row>
    <row r="3" spans="1:23" ht="7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3"/>
      <c r="Q3" s="33"/>
      <c r="R3" s="33"/>
      <c r="S3" s="33"/>
      <c r="T3" s="33"/>
      <c r="U3" s="33"/>
      <c r="V3" s="1"/>
      <c r="W3" s="1"/>
    </row>
    <row r="4" spans="1:23" ht="13.5" thickBot="1">
      <c r="A4" s="1"/>
      <c r="B4" s="37" t="s">
        <v>3</v>
      </c>
      <c r="C4" s="37"/>
      <c r="D4" s="1"/>
      <c r="E4" s="3"/>
      <c r="F4" s="4" t="s">
        <v>4</v>
      </c>
      <c r="G4" s="1"/>
      <c r="H4" s="37" t="s">
        <v>5</v>
      </c>
      <c r="I4" s="37"/>
      <c r="J4" s="1"/>
      <c r="K4" s="3"/>
      <c r="L4" s="40" t="s">
        <v>6</v>
      </c>
      <c r="M4" s="41"/>
      <c r="N4" s="1"/>
      <c r="O4" s="1"/>
      <c r="P4" s="33"/>
      <c r="Q4" s="33"/>
      <c r="R4" s="33"/>
      <c r="S4" s="33"/>
      <c r="T4" s="33"/>
      <c r="U4" s="33"/>
      <c r="V4" s="1"/>
      <c r="W4" s="1"/>
    </row>
    <row r="5" spans="1:23" ht="7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1"/>
      <c r="B6" s="37" t="s">
        <v>7</v>
      </c>
      <c r="C6" s="37"/>
      <c r="D6" s="1"/>
      <c r="E6" s="3"/>
      <c r="F6" s="4" t="s">
        <v>8</v>
      </c>
      <c r="G6" s="1"/>
      <c r="H6" s="37" t="s">
        <v>9</v>
      </c>
      <c r="I6" s="37"/>
      <c r="J6" s="1"/>
      <c r="K6" s="5">
        <f>E4*(100-H40)*0.01</f>
        <v>0</v>
      </c>
      <c r="L6" s="47" t="s">
        <v>4</v>
      </c>
      <c r="M6" s="48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7.5" customHeight="1" thickBot="1">
      <c r="A7" s="1"/>
      <c r="B7" s="2"/>
      <c r="C7" s="2"/>
      <c r="D7" s="1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7.5" customHeight="1">
      <c r="A8" s="6"/>
      <c r="B8" s="7"/>
      <c r="C8" s="7"/>
      <c r="D8" s="7"/>
      <c r="E8" s="7"/>
      <c r="F8" s="7"/>
      <c r="G8" s="7"/>
      <c r="H8" s="7"/>
      <c r="I8" s="7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9"/>
      <c r="B9" s="36" t="s">
        <v>10</v>
      </c>
      <c r="C9" s="36"/>
      <c r="D9" s="36"/>
      <c r="E9" s="36"/>
      <c r="F9" s="36"/>
      <c r="G9" s="36"/>
      <c r="H9" s="36"/>
      <c r="I9" s="36"/>
      <c r="J9" s="11"/>
      <c r="K9" s="12"/>
      <c r="L9" s="12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7.5" customHeight="1">
      <c r="A10" s="9"/>
      <c r="B10" s="12"/>
      <c r="C10" s="12"/>
      <c r="D10" s="12"/>
      <c r="E10" s="12"/>
      <c r="F10" s="12"/>
      <c r="G10" s="12"/>
      <c r="H10" s="12"/>
      <c r="I10" s="12"/>
      <c r="J10" s="13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9"/>
      <c r="B11" s="36" t="s">
        <v>11</v>
      </c>
      <c r="C11" s="36"/>
      <c r="D11" s="36"/>
      <c r="E11" s="36"/>
      <c r="F11" s="36"/>
      <c r="G11" s="36"/>
      <c r="H11" s="36"/>
      <c r="I11" s="36"/>
      <c r="J11" s="11"/>
      <c r="K11" s="12"/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9"/>
      <c r="B12" s="34"/>
      <c r="C12" s="35"/>
      <c r="D12" s="12"/>
      <c r="E12" s="34"/>
      <c r="F12" s="35"/>
      <c r="G12" s="12"/>
      <c r="H12" s="34"/>
      <c r="I12" s="35"/>
      <c r="J12" s="14">
        <f>IF(ISERROR(AVERAGE(B12,E12,H12)),"",AVERAGE(B12,E12,H12))</f>
      </c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9"/>
      <c r="B13" s="36" t="s">
        <v>24</v>
      </c>
      <c r="C13" s="36"/>
      <c r="D13" s="36"/>
      <c r="E13" s="36"/>
      <c r="F13" s="36"/>
      <c r="G13" s="36"/>
      <c r="H13" s="36"/>
      <c r="I13" s="36"/>
      <c r="J13" s="14"/>
      <c r="K13" s="15"/>
      <c r="L13" s="1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7.5" customHeight="1">
      <c r="A14" s="9"/>
      <c r="B14" s="36"/>
      <c r="C14" s="36"/>
      <c r="D14" s="36"/>
      <c r="E14" s="36"/>
      <c r="F14" s="36"/>
      <c r="G14" s="36"/>
      <c r="H14" s="36"/>
      <c r="I14" s="36"/>
      <c r="J14" s="14"/>
      <c r="K14" s="15"/>
      <c r="L14" s="1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9"/>
      <c r="B15" s="36" t="s">
        <v>12</v>
      </c>
      <c r="C15" s="36"/>
      <c r="D15" s="36"/>
      <c r="E15" s="36"/>
      <c r="F15" s="36"/>
      <c r="G15" s="36"/>
      <c r="H15" s="36"/>
      <c r="I15" s="36"/>
      <c r="J15" s="14"/>
      <c r="K15" s="15"/>
      <c r="L15" s="1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9"/>
      <c r="B16" s="34"/>
      <c r="C16" s="35"/>
      <c r="D16" s="12"/>
      <c r="E16" s="34"/>
      <c r="F16" s="35"/>
      <c r="G16" s="12"/>
      <c r="H16" s="34"/>
      <c r="I16" s="35"/>
      <c r="J16" s="14">
        <f>IF(ISERROR(AVERAGE(B16,E16,H16)),"",AVERAGE(B16,E16,H16))</f>
      </c>
      <c r="K16" s="15"/>
      <c r="L16" s="1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9"/>
      <c r="B17" s="36" t="s">
        <v>24</v>
      </c>
      <c r="C17" s="36"/>
      <c r="D17" s="36"/>
      <c r="E17" s="36"/>
      <c r="F17" s="36"/>
      <c r="G17" s="36"/>
      <c r="H17" s="36"/>
      <c r="I17" s="36"/>
      <c r="J17" s="14"/>
      <c r="K17" s="15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7.5" customHeight="1">
      <c r="A18" s="9"/>
      <c r="B18" s="12"/>
      <c r="C18" s="12"/>
      <c r="D18" s="12"/>
      <c r="E18" s="12"/>
      <c r="F18" s="12"/>
      <c r="G18" s="12"/>
      <c r="H18" s="12"/>
      <c r="I18" s="12"/>
      <c r="J18" s="16"/>
      <c r="K18" s="15"/>
      <c r="L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9"/>
      <c r="B19" s="36" t="s">
        <v>13</v>
      </c>
      <c r="C19" s="36"/>
      <c r="D19" s="36"/>
      <c r="E19" s="36"/>
      <c r="F19" s="36"/>
      <c r="G19" s="36"/>
      <c r="H19" s="36"/>
      <c r="I19" s="36"/>
      <c r="J19" s="14"/>
      <c r="K19" s="17"/>
      <c r="L19" s="1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9"/>
      <c r="B20" s="34"/>
      <c r="C20" s="35"/>
      <c r="D20" s="12"/>
      <c r="E20" s="34"/>
      <c r="F20" s="35"/>
      <c r="G20" s="12"/>
      <c r="H20" s="34"/>
      <c r="I20" s="35"/>
      <c r="J20" s="14">
        <f>IF(ISERROR(AVERAGE(B20,E20,H20)),"",AVERAGE(B20,E20,H20))</f>
      </c>
      <c r="K20" s="15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9"/>
      <c r="B21" s="36" t="s">
        <v>24</v>
      </c>
      <c r="C21" s="36"/>
      <c r="D21" s="36"/>
      <c r="E21" s="36"/>
      <c r="F21" s="36"/>
      <c r="G21" s="36"/>
      <c r="H21" s="36"/>
      <c r="I21" s="36"/>
      <c r="J21" s="14"/>
      <c r="K21" s="15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7.5" customHeight="1">
      <c r="A22" s="9"/>
      <c r="B22" s="12"/>
      <c r="C22" s="12"/>
      <c r="D22" s="12"/>
      <c r="E22" s="12"/>
      <c r="F22" s="12"/>
      <c r="G22" s="12"/>
      <c r="H22" s="12"/>
      <c r="I22" s="12"/>
      <c r="J22" s="16"/>
      <c r="K22" s="15"/>
      <c r="L22" s="1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9"/>
      <c r="B23" s="36" t="s">
        <v>14</v>
      </c>
      <c r="C23" s="36"/>
      <c r="D23" s="36"/>
      <c r="E23" s="36"/>
      <c r="F23" s="36"/>
      <c r="G23" s="36"/>
      <c r="H23" s="36"/>
      <c r="I23" s="36"/>
      <c r="J23" s="14"/>
      <c r="K23" s="17"/>
      <c r="L23" s="1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thickBot="1">
      <c r="A24" s="9"/>
      <c r="B24" s="34"/>
      <c r="C24" s="35"/>
      <c r="D24" s="12"/>
      <c r="E24" s="34"/>
      <c r="F24" s="35"/>
      <c r="G24" s="12"/>
      <c r="H24" s="34"/>
      <c r="I24" s="35"/>
      <c r="J24" s="14">
        <f>IF(ISERROR(AVERAGE(B24,E24,H24)),"",AVERAGE(B24,E24,H24))</f>
      </c>
      <c r="K24" s="15"/>
      <c r="L24" s="1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9"/>
      <c r="B25" s="36" t="s">
        <v>24</v>
      </c>
      <c r="C25" s="36"/>
      <c r="D25" s="36"/>
      <c r="E25" s="36"/>
      <c r="F25" s="36"/>
      <c r="G25" s="36"/>
      <c r="H25" s="36"/>
      <c r="I25" s="36"/>
      <c r="J25" s="14"/>
      <c r="K25" s="15"/>
      <c r="L25" s="1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7.5" customHeight="1">
      <c r="A26" s="9"/>
      <c r="B26" s="12"/>
      <c r="C26" s="12"/>
      <c r="D26" s="12"/>
      <c r="E26" s="12"/>
      <c r="F26" s="12"/>
      <c r="G26" s="12"/>
      <c r="H26" s="12"/>
      <c r="I26" s="12"/>
      <c r="J26" s="16"/>
      <c r="K26" s="15"/>
      <c r="L26" s="1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thickBot="1">
      <c r="A27" s="9"/>
      <c r="B27" s="36" t="s">
        <v>15</v>
      </c>
      <c r="C27" s="36"/>
      <c r="D27" s="36"/>
      <c r="E27" s="36"/>
      <c r="F27" s="36"/>
      <c r="G27" s="36"/>
      <c r="H27" s="36"/>
      <c r="I27" s="36"/>
      <c r="J27" s="14"/>
      <c r="K27" s="17"/>
      <c r="L27" s="1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 thickBot="1">
      <c r="A28" s="9"/>
      <c r="B28" s="34"/>
      <c r="C28" s="35"/>
      <c r="D28" s="12"/>
      <c r="E28" s="34"/>
      <c r="F28" s="35"/>
      <c r="G28" s="12"/>
      <c r="H28" s="34"/>
      <c r="I28" s="35"/>
      <c r="J28" s="14">
        <f>IF(ISERROR(AVERAGE(B28,E28,H28)),"",AVERAGE(B28,E28,H28))</f>
      </c>
      <c r="K28" s="15"/>
      <c r="L28" s="1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9"/>
      <c r="B29" s="36" t="s">
        <v>24</v>
      </c>
      <c r="C29" s="36"/>
      <c r="D29" s="36"/>
      <c r="E29" s="36"/>
      <c r="F29" s="36"/>
      <c r="G29" s="36"/>
      <c r="H29" s="36"/>
      <c r="I29" s="36"/>
      <c r="J29" s="14"/>
      <c r="K29" s="15"/>
      <c r="L29" s="1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7.5" customHeight="1">
      <c r="A30" s="9"/>
      <c r="B30" s="12"/>
      <c r="C30" s="12"/>
      <c r="D30" s="12"/>
      <c r="E30" s="12"/>
      <c r="F30" s="12"/>
      <c r="G30" s="12"/>
      <c r="H30" s="12"/>
      <c r="I30" s="12"/>
      <c r="J30" s="16"/>
      <c r="K30" s="15"/>
      <c r="L30" s="1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 thickBot="1">
      <c r="A31" s="9"/>
      <c r="B31" s="36" t="s">
        <v>16</v>
      </c>
      <c r="C31" s="36"/>
      <c r="D31" s="36"/>
      <c r="E31" s="36"/>
      <c r="F31" s="36"/>
      <c r="G31" s="36"/>
      <c r="H31" s="36"/>
      <c r="I31" s="36"/>
      <c r="J31" s="14"/>
      <c r="K31" s="17"/>
      <c r="L31" s="1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 thickBot="1">
      <c r="A32" s="9"/>
      <c r="B32" s="34"/>
      <c r="C32" s="35"/>
      <c r="D32" s="12"/>
      <c r="E32" s="34"/>
      <c r="F32" s="35"/>
      <c r="G32" s="12"/>
      <c r="H32" s="34"/>
      <c r="I32" s="35"/>
      <c r="J32" s="14">
        <f>IF(ISERROR(AVERAGE(B32,E32,H32)),"",AVERAGE(B32,E32,H32))</f>
      </c>
      <c r="K32" s="15"/>
      <c r="L32" s="1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9"/>
      <c r="B33" s="36" t="s">
        <v>24</v>
      </c>
      <c r="C33" s="36"/>
      <c r="D33" s="36"/>
      <c r="E33" s="36"/>
      <c r="F33" s="36"/>
      <c r="G33" s="36"/>
      <c r="H33" s="36"/>
      <c r="I33" s="36"/>
      <c r="J33" s="14"/>
      <c r="K33" s="15"/>
      <c r="L33" s="1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7.5" customHeight="1">
      <c r="A34" s="9"/>
      <c r="B34" s="12"/>
      <c r="C34" s="12"/>
      <c r="D34" s="12"/>
      <c r="E34" s="12"/>
      <c r="F34" s="12"/>
      <c r="G34" s="12"/>
      <c r="H34" s="12"/>
      <c r="I34" s="12"/>
      <c r="J34" s="16"/>
      <c r="K34" s="15"/>
      <c r="L34" s="1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 thickBot="1">
      <c r="A35" s="9"/>
      <c r="B35" s="36" t="s">
        <v>17</v>
      </c>
      <c r="C35" s="36"/>
      <c r="D35" s="36"/>
      <c r="E35" s="36"/>
      <c r="F35" s="36"/>
      <c r="G35" s="36"/>
      <c r="H35" s="36"/>
      <c r="I35" s="36"/>
      <c r="J35" s="14"/>
      <c r="K35" s="17"/>
      <c r="L35" s="1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 thickBot="1">
      <c r="A36" s="9"/>
      <c r="B36" s="34"/>
      <c r="C36" s="35"/>
      <c r="D36" s="12"/>
      <c r="E36" s="34"/>
      <c r="F36" s="35"/>
      <c r="G36" s="12"/>
      <c r="H36" s="34"/>
      <c r="I36" s="35"/>
      <c r="J36" s="14">
        <f>IF(ISERROR(AVERAGE(B36,E36,H36)),"",AVERAGE(B36,E36,H36))</f>
      </c>
      <c r="K36" s="15"/>
      <c r="L36" s="1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9"/>
      <c r="B37" s="36" t="s">
        <v>24</v>
      </c>
      <c r="C37" s="36"/>
      <c r="D37" s="36"/>
      <c r="E37" s="36"/>
      <c r="F37" s="36"/>
      <c r="G37" s="36"/>
      <c r="H37" s="36"/>
      <c r="I37" s="36"/>
      <c r="J37" s="11"/>
      <c r="K37" s="15"/>
      <c r="L37" s="1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7.5" customHeight="1" thickBot="1">
      <c r="A38" s="18"/>
      <c r="B38" s="19"/>
      <c r="C38" s="19"/>
      <c r="D38" s="19"/>
      <c r="E38" s="19"/>
      <c r="F38" s="19"/>
      <c r="G38" s="19"/>
      <c r="H38" s="19"/>
      <c r="I38" s="19"/>
      <c r="J38" s="20"/>
      <c r="K38" s="10"/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7.5" customHeight="1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thickBot="1">
      <c r="A40" s="1"/>
      <c r="B40" s="37" t="s">
        <v>18</v>
      </c>
      <c r="C40" s="37"/>
      <c r="D40" s="37"/>
      <c r="E40" s="37"/>
      <c r="F40" s="37"/>
      <c r="G40" s="1"/>
      <c r="H40" s="21">
        <f>IF(ISERROR((4.95/(1.112-(0.00043499*(SUM(J36,J32,J28,J24,J20,J16,J12)))+(0.00000055*((SUM(J36,J32,J28,J24,J20,J16,J12))^2))-(0.00028826*K4))-4.5)*100),"",(4.95/(1.112-(0.00043499*(SUM(J36,J32,J28,J24,J20,J16,J12)))+(0.00000055*((SUM(J36,J32,J28,J24,J20,J16,J12))^2))-(0.00028826*K4))-4.5)*100)</f>
        <v>-4.8561151079137055</v>
      </c>
      <c r="I40" s="22" t="s">
        <v>19</v>
      </c>
      <c r="J40" s="1"/>
      <c r="K40" s="37" t="s">
        <v>20</v>
      </c>
      <c r="L40" s="37"/>
      <c r="M40" s="37"/>
      <c r="N40" s="37"/>
      <c r="O40" s="37"/>
      <c r="P40" s="1"/>
      <c r="Q40" s="44">
        <f>IF(ISERROR(703*(E4/(E6^2))),"",703*(E4/(E6^2)))</f>
      </c>
      <c r="R40" s="45"/>
      <c r="S40" s="1"/>
      <c r="T40" s="1"/>
      <c r="U40" s="1"/>
      <c r="V40" s="1"/>
      <c r="W40" s="1"/>
    </row>
    <row r="41" spans="1:23" ht="7.5" customHeight="1" thickBot="1">
      <c r="A41" s="1"/>
      <c r="B41" s="2"/>
      <c r="C41" s="2"/>
      <c r="D41" s="2"/>
      <c r="E41" s="2"/>
      <c r="F41" s="2"/>
      <c r="G41" s="1"/>
      <c r="H41" s="23"/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thickBot="1">
      <c r="A42" s="1"/>
      <c r="B42" s="37" t="s">
        <v>21</v>
      </c>
      <c r="C42" s="37"/>
      <c r="D42" s="37"/>
      <c r="E42" s="37"/>
      <c r="F42" s="37"/>
      <c r="G42" s="1"/>
      <c r="H42" s="25">
        <f>IF(ISERROR((21.6*K6/2.20462262)+370),"",(21.6*K6/2.20462262)+370)</f>
        <v>370</v>
      </c>
      <c r="I42" s="26" t="s">
        <v>22</v>
      </c>
      <c r="J42" s="1"/>
      <c r="K42" s="43" t="s">
        <v>23</v>
      </c>
      <c r="L42" s="43"/>
      <c r="M42" s="43"/>
      <c r="N42" s="43"/>
      <c r="O42" s="43"/>
      <c r="P42" s="1"/>
      <c r="Q42" s="25">
        <f>IF(ISERROR(H42*1.55),"",H42*1.55)</f>
        <v>573.5</v>
      </c>
      <c r="R42" s="26" t="s">
        <v>22</v>
      </c>
      <c r="S42" s="1"/>
      <c r="T42" s="1"/>
      <c r="U42" s="1"/>
      <c r="V42" s="1"/>
      <c r="W42" s="1"/>
    </row>
    <row r="43" spans="1:23" ht="12.75">
      <c r="A43" s="1"/>
      <c r="B43" s="2"/>
      <c r="C43" s="2"/>
      <c r="D43" s="2"/>
      <c r="E43" s="2"/>
      <c r="F43" s="2"/>
      <c r="G43" s="1"/>
      <c r="H43" s="12"/>
      <c r="I43" s="30"/>
      <c r="J43" s="1"/>
      <c r="K43" s="29"/>
      <c r="L43" s="29"/>
      <c r="M43" s="29"/>
      <c r="N43" s="29"/>
      <c r="O43" s="29"/>
      <c r="P43" s="1"/>
      <c r="Q43" s="12"/>
      <c r="R43" s="30"/>
      <c r="S43" s="1"/>
      <c r="T43" s="1"/>
      <c r="U43" s="1"/>
      <c r="V43" s="1"/>
      <c r="W43" s="1"/>
    </row>
    <row r="44" spans="1:23" ht="12.75">
      <c r="A44" s="46" t="s">
        <v>40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31">
        <f>(Q42-500)</f>
        <v>73.5</v>
      </c>
      <c r="R44" s="32" t="s">
        <v>22</v>
      </c>
      <c r="S44" s="1"/>
      <c r="T44" s="1"/>
      <c r="U44" s="1"/>
      <c r="V44" s="1"/>
      <c r="W44" s="1"/>
    </row>
    <row r="45" spans="1:23" ht="7.5" customHeight="1" thickBot="1">
      <c r="A45" s="1"/>
      <c r="B45" s="2"/>
      <c r="C45" s="2"/>
      <c r="D45" s="2"/>
      <c r="E45" s="2"/>
      <c r="F45" s="2"/>
      <c r="G45" s="1"/>
      <c r="H45" s="23"/>
      <c r="I45" s="2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1"/>
      <c r="U46" s="1"/>
      <c r="V46" s="1"/>
      <c r="W46" s="1"/>
    </row>
    <row r="47" spans="1:23" ht="12.75">
      <c r="A47" s="9"/>
      <c r="B47" s="36" t="s">
        <v>25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12"/>
      <c r="N47" s="36" t="s">
        <v>30</v>
      </c>
      <c r="O47" s="36"/>
      <c r="P47" s="12"/>
      <c r="Q47" s="36" t="s">
        <v>31</v>
      </c>
      <c r="R47" s="36"/>
      <c r="S47" s="13"/>
      <c r="T47" s="1"/>
      <c r="U47" s="1"/>
      <c r="V47" s="1"/>
      <c r="W47" s="1"/>
    </row>
    <row r="48" spans="1:23" ht="7.5" customHeight="1" thickBot="1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  <c r="T48" s="1"/>
      <c r="U48" s="1"/>
      <c r="V48" s="1"/>
      <c r="W48" s="1"/>
    </row>
    <row r="49" spans="1:23" ht="13.5" thickBot="1">
      <c r="A49" s="9"/>
      <c r="B49" s="36" t="s">
        <v>26</v>
      </c>
      <c r="C49" s="36"/>
      <c r="D49" s="12"/>
      <c r="E49" s="34"/>
      <c r="F49" s="35"/>
      <c r="G49" s="12"/>
      <c r="H49" s="36" t="s">
        <v>28</v>
      </c>
      <c r="I49" s="36"/>
      <c r="J49" s="36"/>
      <c r="K49" s="36"/>
      <c r="L49" s="36"/>
      <c r="M49" s="12"/>
      <c r="N49" s="34"/>
      <c r="O49" s="35"/>
      <c r="P49" s="12"/>
      <c r="Q49" s="34"/>
      <c r="R49" s="35"/>
      <c r="S49" s="13"/>
      <c r="T49" s="1"/>
      <c r="U49" s="1"/>
      <c r="V49" s="1"/>
      <c r="W49" s="1"/>
    </row>
    <row r="50" spans="1:23" ht="7.5" customHeight="1" thickBot="1">
      <c r="A50" s="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3"/>
      <c r="T50" s="1"/>
      <c r="U50" s="1"/>
      <c r="V50" s="1"/>
      <c r="W50" s="1"/>
    </row>
    <row r="51" spans="1:23" ht="13.5" thickBot="1">
      <c r="A51" s="9"/>
      <c r="B51" s="36" t="s">
        <v>27</v>
      </c>
      <c r="C51" s="36"/>
      <c r="D51" s="12"/>
      <c r="E51" s="34"/>
      <c r="F51" s="35"/>
      <c r="G51" s="12"/>
      <c r="H51" s="36" t="s">
        <v>29</v>
      </c>
      <c r="I51" s="36"/>
      <c r="J51" s="36"/>
      <c r="K51" s="36"/>
      <c r="L51" s="36"/>
      <c r="M51" s="12"/>
      <c r="N51" s="34"/>
      <c r="O51" s="35"/>
      <c r="P51" s="12"/>
      <c r="Q51" s="34"/>
      <c r="R51" s="35"/>
      <c r="S51" s="13"/>
      <c r="T51" s="1"/>
      <c r="U51" s="1"/>
      <c r="V51" s="1"/>
      <c r="W51" s="1"/>
    </row>
    <row r="52" spans="1:23" ht="7.5" customHeight="1">
      <c r="A52" s="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3"/>
      <c r="T52" s="1"/>
      <c r="U52" s="1"/>
      <c r="V52" s="1"/>
      <c r="W52" s="1"/>
    </row>
    <row r="53" spans="1:23" ht="7.5" customHeight="1" thickBot="1">
      <c r="A53" s="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S53" s="13"/>
      <c r="T53" s="1"/>
      <c r="U53" s="1"/>
      <c r="V53" s="1"/>
      <c r="W53" s="1"/>
    </row>
    <row r="54" spans="1:23" ht="13.5" thickBot="1">
      <c r="A54" s="9"/>
      <c r="B54" s="36"/>
      <c r="C54" s="36"/>
      <c r="D54" s="12"/>
      <c r="E54" s="42"/>
      <c r="F54" s="42"/>
      <c r="G54" s="12"/>
      <c r="H54" s="36" t="s">
        <v>39</v>
      </c>
      <c r="I54" s="36"/>
      <c r="J54" s="36"/>
      <c r="K54" s="36"/>
      <c r="L54" s="36"/>
      <c r="M54" s="12"/>
      <c r="N54" s="34">
        <f>SUM(E49,E51,N49,Q49,N51,Q51)</f>
        <v>0</v>
      </c>
      <c r="O54" s="35"/>
      <c r="P54" s="12"/>
      <c r="Q54" s="42"/>
      <c r="R54" s="42"/>
      <c r="S54" s="13"/>
      <c r="T54" s="1"/>
      <c r="U54" s="1"/>
      <c r="V54" s="1"/>
      <c r="W54" s="1"/>
    </row>
    <row r="55" spans="1:23" ht="7.5" customHeight="1">
      <c r="A55" s="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S55" s="13"/>
      <c r="T55" s="1"/>
      <c r="U55" s="1"/>
      <c r="V55" s="1"/>
      <c r="W55" s="1"/>
    </row>
    <row r="56" spans="1:23" ht="7.5" customHeight="1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"/>
      <c r="U56" s="1"/>
      <c r="V56" s="1"/>
      <c r="W56" s="1"/>
    </row>
    <row r="57" spans="1:23" ht="7.5" customHeight="1" thickBot="1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1"/>
      <c r="U57" s="1"/>
      <c r="V57" s="1"/>
      <c r="W57" s="1"/>
    </row>
    <row r="58" spans="1:23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14" ht="20.25">
      <c r="B59" s="28" t="s">
        <v>33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1" spans="2:27" ht="12.75">
      <c r="B61" s="27" t="s">
        <v>36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2:5" ht="12.75">
      <c r="B62" s="27" t="s">
        <v>34</v>
      </c>
      <c r="C62" s="27"/>
      <c r="D62" s="27"/>
      <c r="E62" s="27"/>
    </row>
    <row r="63" spans="2:20" ht="12.75">
      <c r="B63" s="27" t="s">
        <v>35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sheetProtection/>
  <mergeCells count="72">
    <mergeCell ref="L6:M6"/>
    <mergeCell ref="B9:I9"/>
    <mergeCell ref="B11:I11"/>
    <mergeCell ref="B12:C12"/>
    <mergeCell ref="E12:F12"/>
    <mergeCell ref="H12:I12"/>
    <mergeCell ref="B6:C6"/>
    <mergeCell ref="H16:I16"/>
    <mergeCell ref="N49:O49"/>
    <mergeCell ref="H49:L49"/>
    <mergeCell ref="E49:F49"/>
    <mergeCell ref="B21:I21"/>
    <mergeCell ref="B23:I23"/>
    <mergeCell ref="B24:C24"/>
    <mergeCell ref="A44:P44"/>
    <mergeCell ref="H28:I28"/>
    <mergeCell ref="E24:F24"/>
    <mergeCell ref="H6:I6"/>
    <mergeCell ref="B20:C20"/>
    <mergeCell ref="E20:F20"/>
    <mergeCell ref="H20:I20"/>
    <mergeCell ref="B13:I13"/>
    <mergeCell ref="B14:I14"/>
    <mergeCell ref="B15:I15"/>
    <mergeCell ref="B16:C16"/>
    <mergeCell ref="E16:F16"/>
    <mergeCell ref="H36:I36"/>
    <mergeCell ref="H32:I32"/>
    <mergeCell ref="B29:I29"/>
    <mergeCell ref="B31:I31"/>
    <mergeCell ref="B32:C32"/>
    <mergeCell ref="B17:I17"/>
    <mergeCell ref="B25:I25"/>
    <mergeCell ref="B27:I27"/>
    <mergeCell ref="B28:C28"/>
    <mergeCell ref="E28:F28"/>
    <mergeCell ref="Q54:R54"/>
    <mergeCell ref="Q40:R40"/>
    <mergeCell ref="N47:O47"/>
    <mergeCell ref="B47:L47"/>
    <mergeCell ref="K40:O40"/>
    <mergeCell ref="H24:I24"/>
    <mergeCell ref="B33:I33"/>
    <mergeCell ref="B35:I35"/>
    <mergeCell ref="B36:C36"/>
    <mergeCell ref="E36:F36"/>
    <mergeCell ref="B51:C51"/>
    <mergeCell ref="E51:F51"/>
    <mergeCell ref="H51:L51"/>
    <mergeCell ref="Q47:R47"/>
    <mergeCell ref="B49:C49"/>
    <mergeCell ref="Q49:R49"/>
    <mergeCell ref="B4:C4"/>
    <mergeCell ref="H4:I4"/>
    <mergeCell ref="L4:M4"/>
    <mergeCell ref="B19:I19"/>
    <mergeCell ref="B54:C54"/>
    <mergeCell ref="E54:F54"/>
    <mergeCell ref="H54:L54"/>
    <mergeCell ref="B42:F42"/>
    <mergeCell ref="K42:O42"/>
    <mergeCell ref="N54:O54"/>
    <mergeCell ref="P2:U4"/>
    <mergeCell ref="E32:F32"/>
    <mergeCell ref="Q51:R51"/>
    <mergeCell ref="N51:O51"/>
    <mergeCell ref="B37:I37"/>
    <mergeCell ref="B40:F40"/>
    <mergeCell ref="B2:C2"/>
    <mergeCell ref="E2:F2"/>
    <mergeCell ref="H2:I2"/>
    <mergeCell ref="L2:M2"/>
  </mergeCells>
  <conditionalFormatting sqref="H38:H39 H41 B1:I37 K1:K5 L1:L7 K7 M1:W1 Q40:Q41 K8:W39 B38:G43 K40:P43 S40:W58 J1:J43 A1:A43 I38:I43 R41:R43 M5:W7 M3:O3 N2:P2 N4:O4 V2:W4 A45:R58">
    <cfRule type="expression" priority="1" dxfId="0" stopIfTrue="1">
      <formula>iserror</formula>
    </cfRule>
  </conditionalFormatting>
  <conditionalFormatting sqref="H40 K6">
    <cfRule type="cellIs" priority="2" dxfId="0" operator="lessThanOrEqual" stopIfTrue="1">
      <formula>0</formula>
    </cfRule>
  </conditionalFormatting>
  <conditionalFormatting sqref="H42:H43">
    <cfRule type="cellIs" priority="3" dxfId="0" operator="lessThanOrEqual" stopIfTrue="1">
      <formula>500</formula>
    </cfRule>
  </conditionalFormatting>
  <conditionalFormatting sqref="Q42:Q43">
    <cfRule type="cellIs" priority="4" dxfId="0" operator="lessThanOrEqual" stopIfTrue="1">
      <formula>750</formula>
    </cfRule>
  </conditionalFormatting>
  <hyperlinks>
    <hyperlink ref="B61:AA61" r:id="rId1" display="Escali High-Capacity Bathroom Scale with Body Fat/Body Water Monitoring (440lb / 200kg): measures weight and percentage of body fat for up to 10 users."/>
    <hyperlink ref="B62:E62" r:id="rId2" display="Orbi Tape Measure: The armed services' choice for physical examinations."/>
    <hyperlink ref="B63:T63" r:id="rId3" display="Slim Guide Skinfold Calipers: These are the most widely used calipers in the world."/>
    <hyperlink ref="P2:U4" r:id="rId4" display="Four Hour Body: Body Composition"/>
  </hyperlinks>
  <printOptions/>
  <pageMargins left="0.5" right="0.5" top="0.5" bottom="0.5" header="0.5" footer="0.5"/>
  <pageSetup fitToHeight="1" fitToWidth="1" horizontalDpi="600" verticalDpi="600" orientation="portrait" r:id="rId8"/>
  <customProperties>
    <customPr name="DVSECTIONID" r:id="rId9"/>
  </customPropertie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zoomScalePageLayoutView="0" workbookViewId="0" topLeftCell="A1">
      <selection activeCell="HX6" sqref="HX6"/>
    </sheetView>
  </sheetViews>
  <sheetFormatPr defaultColWidth="9.140625" defaultRowHeight="12.75"/>
  <sheetData>
    <row r="1" spans="1:256" ht="12.75">
      <c r="A1">
        <f>IF('Weekly Data Sheets'!1:1,"AAAAAHP87wA=",0)</f>
        <v>0</v>
      </c>
      <c r="B1" t="e">
        <f>AND('Weekly Data Sheets'!A1,"AAAAAHP87wE=")</f>
        <v>#VALUE!</v>
      </c>
      <c r="C1" t="e">
        <f>AND('Weekly Data Sheets'!B1,"AAAAAHP87wI=")</f>
        <v>#VALUE!</v>
      </c>
      <c r="D1" t="e">
        <f>AND('Weekly Data Sheets'!C1,"AAAAAHP87wM=")</f>
        <v>#VALUE!</v>
      </c>
      <c r="E1" t="e">
        <f>AND('Weekly Data Sheets'!D1,"AAAAAHP87wQ=")</f>
        <v>#VALUE!</v>
      </c>
      <c r="F1" t="e">
        <f>AND('Weekly Data Sheets'!E1,"AAAAAHP87wU=")</f>
        <v>#VALUE!</v>
      </c>
      <c r="G1" t="e">
        <f>AND('Weekly Data Sheets'!F1,"AAAAAHP87wY=")</f>
        <v>#VALUE!</v>
      </c>
      <c r="H1" t="e">
        <f>AND('Weekly Data Sheets'!G1,"AAAAAHP87wc=")</f>
        <v>#VALUE!</v>
      </c>
      <c r="I1" t="e">
        <f>AND('Weekly Data Sheets'!H1,"AAAAAHP87wg=")</f>
        <v>#VALUE!</v>
      </c>
      <c r="J1" t="e">
        <f>AND('Weekly Data Sheets'!I1,"AAAAAHP87wk=")</f>
        <v>#VALUE!</v>
      </c>
      <c r="K1" t="e">
        <f>AND('Weekly Data Sheets'!J1,"AAAAAHP87wo=")</f>
        <v>#VALUE!</v>
      </c>
      <c r="L1" t="e">
        <f>AND('Weekly Data Sheets'!K1,"AAAAAHP87ws=")</f>
        <v>#VALUE!</v>
      </c>
      <c r="M1" t="e">
        <f>AND('Weekly Data Sheets'!L1,"AAAAAHP87ww=")</f>
        <v>#VALUE!</v>
      </c>
      <c r="N1" t="e">
        <f>AND('Weekly Data Sheets'!M1,"AAAAAHP87w0=")</f>
        <v>#VALUE!</v>
      </c>
      <c r="O1" t="e">
        <f>AND('Weekly Data Sheets'!N1,"AAAAAHP87w4=")</f>
        <v>#VALUE!</v>
      </c>
      <c r="P1" t="e">
        <f>AND('Weekly Data Sheets'!O1,"AAAAAHP87w8=")</f>
        <v>#VALUE!</v>
      </c>
      <c r="Q1" t="e">
        <f>AND('Weekly Data Sheets'!P1,"AAAAAHP87xA=")</f>
        <v>#VALUE!</v>
      </c>
      <c r="R1" t="e">
        <f>AND('Weekly Data Sheets'!Q1,"AAAAAHP87xE=")</f>
        <v>#VALUE!</v>
      </c>
      <c r="S1" t="e">
        <f>AND('Weekly Data Sheets'!R1,"AAAAAHP87xI=")</f>
        <v>#VALUE!</v>
      </c>
      <c r="T1" t="e">
        <f>AND('Weekly Data Sheets'!S1,"AAAAAHP87xM=")</f>
        <v>#VALUE!</v>
      </c>
      <c r="U1" t="e">
        <f>AND('Weekly Data Sheets'!T1,"AAAAAHP87xQ=")</f>
        <v>#VALUE!</v>
      </c>
      <c r="V1" t="e">
        <f>AND('Weekly Data Sheets'!U1,"AAAAAHP87xU=")</f>
        <v>#VALUE!</v>
      </c>
      <c r="W1" t="e">
        <f>AND('Weekly Data Sheets'!V1,"AAAAAHP87xY=")</f>
        <v>#VALUE!</v>
      </c>
      <c r="X1" t="e">
        <f>AND('Weekly Data Sheets'!W1,"AAAAAHP87xc=")</f>
        <v>#VALUE!</v>
      </c>
      <c r="Y1" t="e">
        <f>AND('Weekly Data Sheets'!X1,"AAAAAHP87xg=")</f>
        <v>#VALUE!</v>
      </c>
      <c r="Z1" t="e">
        <f>AND('Weekly Data Sheets'!Y1,"AAAAAHP87xk=")</f>
        <v>#VALUE!</v>
      </c>
      <c r="AA1" t="e">
        <f>AND('Weekly Data Sheets'!Z1,"AAAAAHP87xo=")</f>
        <v>#VALUE!</v>
      </c>
      <c r="AB1" t="e">
        <f>AND('Weekly Data Sheets'!AA1,"AAAAAHP87xs=")</f>
        <v>#VALUE!</v>
      </c>
      <c r="AC1">
        <f>IF('Weekly Data Sheets'!2:2,"AAAAAHP87xw=",0)</f>
        <v>0</v>
      </c>
      <c r="AD1" t="e">
        <f>AND('Weekly Data Sheets'!A2,"AAAAAHP87x0=")</f>
        <v>#VALUE!</v>
      </c>
      <c r="AE1" t="e">
        <f>AND('Weekly Data Sheets'!B2,"AAAAAHP87x4=")</f>
        <v>#VALUE!</v>
      </c>
      <c r="AF1" t="e">
        <f>AND('Weekly Data Sheets'!C2,"AAAAAHP87x8=")</f>
        <v>#VALUE!</v>
      </c>
      <c r="AG1" t="e">
        <f>AND('Weekly Data Sheets'!D2,"AAAAAHP87yA=")</f>
        <v>#VALUE!</v>
      </c>
      <c r="AH1" t="e">
        <f>AND('Weekly Data Sheets'!E2,"AAAAAHP87yE=")</f>
        <v>#VALUE!</v>
      </c>
      <c r="AI1" t="e">
        <f>AND('Weekly Data Sheets'!F2,"AAAAAHP87yI=")</f>
        <v>#VALUE!</v>
      </c>
      <c r="AJ1" t="e">
        <f>AND('Weekly Data Sheets'!G2,"AAAAAHP87yM=")</f>
        <v>#VALUE!</v>
      </c>
      <c r="AK1" t="e">
        <f>AND('Weekly Data Sheets'!H2,"AAAAAHP87yQ=")</f>
        <v>#VALUE!</v>
      </c>
      <c r="AL1" t="e">
        <f>AND('Weekly Data Sheets'!I2,"AAAAAHP87yU=")</f>
        <v>#VALUE!</v>
      </c>
      <c r="AM1" t="e">
        <f>AND('Weekly Data Sheets'!J2,"AAAAAHP87yY=")</f>
        <v>#VALUE!</v>
      </c>
      <c r="AN1" t="e">
        <f>AND('Weekly Data Sheets'!K2,"AAAAAHP87yc=")</f>
        <v>#VALUE!</v>
      </c>
      <c r="AO1" t="e">
        <f>AND('Weekly Data Sheets'!L2,"AAAAAHP87yg=")</f>
        <v>#VALUE!</v>
      </c>
      <c r="AP1" t="e">
        <f>AND('Weekly Data Sheets'!M2,"AAAAAHP87yk=")</f>
        <v>#VALUE!</v>
      </c>
      <c r="AQ1" t="e">
        <f>AND('Weekly Data Sheets'!N2,"AAAAAHP87yo=")</f>
        <v>#VALUE!</v>
      </c>
      <c r="AR1" t="e">
        <f>AND('Weekly Data Sheets'!O2,"AAAAAHP87ys=")</f>
        <v>#VALUE!</v>
      </c>
      <c r="AS1" t="e">
        <f>AND('Weekly Data Sheets'!P2,"AAAAAHP87yw=")</f>
        <v>#VALUE!</v>
      </c>
      <c r="AT1" t="e">
        <f>AND('Weekly Data Sheets'!Q2,"AAAAAHP87y0=")</f>
        <v>#VALUE!</v>
      </c>
      <c r="AU1" t="e">
        <f>AND('Weekly Data Sheets'!R2,"AAAAAHP87y4=")</f>
        <v>#VALUE!</v>
      </c>
      <c r="AV1" t="e">
        <f>AND('Weekly Data Sheets'!S2,"AAAAAHP87y8=")</f>
        <v>#VALUE!</v>
      </c>
      <c r="AW1" t="e">
        <f>AND('Weekly Data Sheets'!T2,"AAAAAHP87zA=")</f>
        <v>#VALUE!</v>
      </c>
      <c r="AX1" t="e">
        <f>AND('Weekly Data Sheets'!U2,"AAAAAHP87zE=")</f>
        <v>#VALUE!</v>
      </c>
      <c r="AY1" t="e">
        <f>AND('Weekly Data Sheets'!V2,"AAAAAHP87zI=")</f>
        <v>#VALUE!</v>
      </c>
      <c r="AZ1" t="e">
        <f>AND('Weekly Data Sheets'!W2,"AAAAAHP87zM=")</f>
        <v>#VALUE!</v>
      </c>
      <c r="BA1" t="e">
        <f>AND('Weekly Data Sheets'!X2,"AAAAAHP87zQ=")</f>
        <v>#VALUE!</v>
      </c>
      <c r="BB1" t="e">
        <f>AND('Weekly Data Sheets'!Y2,"AAAAAHP87zU=")</f>
        <v>#VALUE!</v>
      </c>
      <c r="BC1" t="e">
        <f>AND('Weekly Data Sheets'!Z2,"AAAAAHP87zY=")</f>
        <v>#VALUE!</v>
      </c>
      <c r="BD1" t="e">
        <f>AND('Weekly Data Sheets'!AA2,"AAAAAHP87zc=")</f>
        <v>#VALUE!</v>
      </c>
      <c r="BE1">
        <f>IF('Weekly Data Sheets'!3:3,"AAAAAHP87zg=",0)</f>
        <v>0</v>
      </c>
      <c r="BF1" t="e">
        <f>AND('Weekly Data Sheets'!A3,"AAAAAHP87zk=")</f>
        <v>#VALUE!</v>
      </c>
      <c r="BG1" t="e">
        <f>AND('Weekly Data Sheets'!B3,"AAAAAHP87zo=")</f>
        <v>#VALUE!</v>
      </c>
      <c r="BH1" t="e">
        <f>AND('Weekly Data Sheets'!C3,"AAAAAHP87zs=")</f>
        <v>#VALUE!</v>
      </c>
      <c r="BI1" t="e">
        <f>AND('Weekly Data Sheets'!D3,"AAAAAHP87zw=")</f>
        <v>#VALUE!</v>
      </c>
      <c r="BJ1" t="e">
        <f>AND('Weekly Data Sheets'!E3,"AAAAAHP87z0=")</f>
        <v>#VALUE!</v>
      </c>
      <c r="BK1" t="e">
        <f>AND('Weekly Data Sheets'!F3,"AAAAAHP87z4=")</f>
        <v>#VALUE!</v>
      </c>
      <c r="BL1" t="e">
        <f>AND('Weekly Data Sheets'!G3,"AAAAAHP87z8=")</f>
        <v>#VALUE!</v>
      </c>
      <c r="BM1" t="e">
        <f>AND('Weekly Data Sheets'!H3,"AAAAAHP870A=")</f>
        <v>#VALUE!</v>
      </c>
      <c r="BN1" t="e">
        <f>AND('Weekly Data Sheets'!I3,"AAAAAHP870E=")</f>
        <v>#VALUE!</v>
      </c>
      <c r="BO1" t="e">
        <f>AND('Weekly Data Sheets'!J3,"AAAAAHP870I=")</f>
        <v>#VALUE!</v>
      </c>
      <c r="BP1" t="e">
        <f>AND('Weekly Data Sheets'!K3,"AAAAAHP870M=")</f>
        <v>#VALUE!</v>
      </c>
      <c r="BQ1" t="e">
        <f>AND('Weekly Data Sheets'!L3,"AAAAAHP870Q=")</f>
        <v>#VALUE!</v>
      </c>
      <c r="BR1" t="e">
        <f>AND('Weekly Data Sheets'!M3,"AAAAAHP870U=")</f>
        <v>#VALUE!</v>
      </c>
      <c r="BS1" t="e">
        <f>AND('Weekly Data Sheets'!N3,"AAAAAHP870Y=")</f>
        <v>#VALUE!</v>
      </c>
      <c r="BT1" t="e">
        <f>AND('Weekly Data Sheets'!O3,"AAAAAHP870c=")</f>
        <v>#VALUE!</v>
      </c>
      <c r="BU1" t="e">
        <f>AND('Weekly Data Sheets'!P3,"AAAAAHP870g=")</f>
        <v>#VALUE!</v>
      </c>
      <c r="BV1" t="e">
        <f>AND('Weekly Data Sheets'!Q3,"AAAAAHP870k=")</f>
        <v>#VALUE!</v>
      </c>
      <c r="BW1" t="e">
        <f>AND('Weekly Data Sheets'!R3,"AAAAAHP870o=")</f>
        <v>#VALUE!</v>
      </c>
      <c r="BX1" t="e">
        <f>AND('Weekly Data Sheets'!S3,"AAAAAHP870s=")</f>
        <v>#VALUE!</v>
      </c>
      <c r="BY1" t="e">
        <f>AND('Weekly Data Sheets'!T3,"AAAAAHP870w=")</f>
        <v>#VALUE!</v>
      </c>
      <c r="BZ1" t="e">
        <f>AND('Weekly Data Sheets'!U3,"AAAAAHP8700=")</f>
        <v>#VALUE!</v>
      </c>
      <c r="CA1" t="e">
        <f>AND('Weekly Data Sheets'!V3,"AAAAAHP8704=")</f>
        <v>#VALUE!</v>
      </c>
      <c r="CB1" t="e">
        <f>AND('Weekly Data Sheets'!W3,"AAAAAHP8708=")</f>
        <v>#VALUE!</v>
      </c>
      <c r="CC1" t="e">
        <f>AND('Weekly Data Sheets'!X3,"AAAAAHP871A=")</f>
        <v>#VALUE!</v>
      </c>
      <c r="CD1" t="e">
        <f>AND('Weekly Data Sheets'!Y3,"AAAAAHP871E=")</f>
        <v>#VALUE!</v>
      </c>
      <c r="CE1" t="e">
        <f>AND('Weekly Data Sheets'!Z3,"AAAAAHP871I=")</f>
        <v>#VALUE!</v>
      </c>
      <c r="CF1" t="e">
        <f>AND('Weekly Data Sheets'!AA3,"AAAAAHP871M=")</f>
        <v>#VALUE!</v>
      </c>
      <c r="CG1">
        <f>IF('Weekly Data Sheets'!4:4,"AAAAAHP871Q=",0)</f>
        <v>0</v>
      </c>
      <c r="CH1" t="e">
        <f>AND('Weekly Data Sheets'!A4,"AAAAAHP871U=")</f>
        <v>#VALUE!</v>
      </c>
      <c r="CI1" t="e">
        <f>AND('Weekly Data Sheets'!B4,"AAAAAHP871Y=")</f>
        <v>#VALUE!</v>
      </c>
      <c r="CJ1" t="e">
        <f>AND('Weekly Data Sheets'!C4,"AAAAAHP871c=")</f>
        <v>#VALUE!</v>
      </c>
      <c r="CK1" t="e">
        <f>AND('Weekly Data Sheets'!D4,"AAAAAHP871g=")</f>
        <v>#VALUE!</v>
      </c>
      <c r="CL1" t="e">
        <f>AND('Weekly Data Sheets'!E4,"AAAAAHP871k=")</f>
        <v>#VALUE!</v>
      </c>
      <c r="CM1" t="e">
        <f>AND('Weekly Data Sheets'!F4,"AAAAAHP871o=")</f>
        <v>#VALUE!</v>
      </c>
      <c r="CN1" t="e">
        <f>AND('Weekly Data Sheets'!G4,"AAAAAHP871s=")</f>
        <v>#VALUE!</v>
      </c>
      <c r="CO1" t="e">
        <f>AND('Weekly Data Sheets'!H4,"AAAAAHP871w=")</f>
        <v>#VALUE!</v>
      </c>
      <c r="CP1" t="e">
        <f>AND('Weekly Data Sheets'!I4,"AAAAAHP8710=")</f>
        <v>#VALUE!</v>
      </c>
      <c r="CQ1" t="e">
        <f>AND('Weekly Data Sheets'!J4,"AAAAAHP8714=")</f>
        <v>#VALUE!</v>
      </c>
      <c r="CR1" t="e">
        <f>AND('Weekly Data Sheets'!K4,"AAAAAHP8718=")</f>
        <v>#VALUE!</v>
      </c>
      <c r="CS1" t="e">
        <f>AND('Weekly Data Sheets'!L4,"AAAAAHP872A=")</f>
        <v>#VALUE!</v>
      </c>
      <c r="CT1" t="e">
        <f>AND('Weekly Data Sheets'!M4,"AAAAAHP872E=")</f>
        <v>#VALUE!</v>
      </c>
      <c r="CU1" t="e">
        <f>AND('Weekly Data Sheets'!N4,"AAAAAHP872I=")</f>
        <v>#VALUE!</v>
      </c>
      <c r="CV1" t="e">
        <f>AND('Weekly Data Sheets'!O4,"AAAAAHP872M=")</f>
        <v>#VALUE!</v>
      </c>
      <c r="CW1" t="e">
        <f>AND('Weekly Data Sheets'!P4,"AAAAAHP872Q=")</f>
        <v>#VALUE!</v>
      </c>
      <c r="CX1" t="e">
        <f>AND('Weekly Data Sheets'!Q4,"AAAAAHP872U=")</f>
        <v>#VALUE!</v>
      </c>
      <c r="CY1" t="e">
        <f>AND('Weekly Data Sheets'!R4,"AAAAAHP872Y=")</f>
        <v>#VALUE!</v>
      </c>
      <c r="CZ1" t="e">
        <f>AND('Weekly Data Sheets'!S4,"AAAAAHP872c=")</f>
        <v>#VALUE!</v>
      </c>
      <c r="DA1" t="e">
        <f>AND('Weekly Data Sheets'!T4,"AAAAAHP872g=")</f>
        <v>#VALUE!</v>
      </c>
      <c r="DB1" t="e">
        <f>AND('Weekly Data Sheets'!U4,"AAAAAHP872k=")</f>
        <v>#VALUE!</v>
      </c>
      <c r="DC1" t="e">
        <f>AND('Weekly Data Sheets'!V4,"AAAAAHP872o=")</f>
        <v>#VALUE!</v>
      </c>
      <c r="DD1" t="e">
        <f>AND('Weekly Data Sheets'!W4,"AAAAAHP872s=")</f>
        <v>#VALUE!</v>
      </c>
      <c r="DE1" t="e">
        <f>AND('Weekly Data Sheets'!X4,"AAAAAHP872w=")</f>
        <v>#VALUE!</v>
      </c>
      <c r="DF1" t="e">
        <f>AND('Weekly Data Sheets'!Y4,"AAAAAHP8720=")</f>
        <v>#VALUE!</v>
      </c>
      <c r="DG1" t="e">
        <f>AND('Weekly Data Sheets'!Z4,"AAAAAHP8724=")</f>
        <v>#VALUE!</v>
      </c>
      <c r="DH1" t="e">
        <f>AND('Weekly Data Sheets'!AA4,"AAAAAHP8728=")</f>
        <v>#VALUE!</v>
      </c>
      <c r="DI1">
        <f>IF('Weekly Data Sheets'!5:5,"AAAAAHP873A=",0)</f>
        <v>0</v>
      </c>
      <c r="DJ1" t="e">
        <f>AND('Weekly Data Sheets'!A5,"AAAAAHP873E=")</f>
        <v>#VALUE!</v>
      </c>
      <c r="DK1" t="e">
        <f>AND('Weekly Data Sheets'!B5,"AAAAAHP873I=")</f>
        <v>#VALUE!</v>
      </c>
      <c r="DL1" t="e">
        <f>AND('Weekly Data Sheets'!C5,"AAAAAHP873M=")</f>
        <v>#VALUE!</v>
      </c>
      <c r="DM1" t="e">
        <f>AND('Weekly Data Sheets'!D5,"AAAAAHP873Q=")</f>
        <v>#VALUE!</v>
      </c>
      <c r="DN1" t="e">
        <f>AND('Weekly Data Sheets'!E5,"AAAAAHP873U=")</f>
        <v>#VALUE!</v>
      </c>
      <c r="DO1" t="e">
        <f>AND('Weekly Data Sheets'!F5,"AAAAAHP873Y=")</f>
        <v>#VALUE!</v>
      </c>
      <c r="DP1" t="e">
        <f>AND('Weekly Data Sheets'!G5,"AAAAAHP873c=")</f>
        <v>#VALUE!</v>
      </c>
      <c r="DQ1" t="e">
        <f>AND('Weekly Data Sheets'!H5,"AAAAAHP873g=")</f>
        <v>#VALUE!</v>
      </c>
      <c r="DR1" t="e">
        <f>AND('Weekly Data Sheets'!I5,"AAAAAHP873k=")</f>
        <v>#VALUE!</v>
      </c>
      <c r="DS1" t="e">
        <f>AND('Weekly Data Sheets'!J5,"AAAAAHP873o=")</f>
        <v>#VALUE!</v>
      </c>
      <c r="DT1" t="e">
        <f>AND('Weekly Data Sheets'!K5,"AAAAAHP873s=")</f>
        <v>#VALUE!</v>
      </c>
      <c r="DU1" t="e">
        <f>AND('Weekly Data Sheets'!L5,"AAAAAHP873w=")</f>
        <v>#VALUE!</v>
      </c>
      <c r="DV1" t="e">
        <f>AND('Weekly Data Sheets'!M5,"AAAAAHP8730=")</f>
        <v>#VALUE!</v>
      </c>
      <c r="DW1" t="e">
        <f>AND('Weekly Data Sheets'!N5,"AAAAAHP8734=")</f>
        <v>#VALUE!</v>
      </c>
      <c r="DX1" t="e">
        <f>AND('Weekly Data Sheets'!O5,"AAAAAHP8738=")</f>
        <v>#VALUE!</v>
      </c>
      <c r="DY1" t="e">
        <f>AND('Weekly Data Sheets'!P5,"AAAAAHP874A=")</f>
        <v>#VALUE!</v>
      </c>
      <c r="DZ1" t="e">
        <f>AND('Weekly Data Sheets'!Q5,"AAAAAHP874E=")</f>
        <v>#VALUE!</v>
      </c>
      <c r="EA1" t="e">
        <f>AND('Weekly Data Sheets'!R5,"AAAAAHP874I=")</f>
        <v>#VALUE!</v>
      </c>
      <c r="EB1" t="e">
        <f>AND('Weekly Data Sheets'!S5,"AAAAAHP874M=")</f>
        <v>#VALUE!</v>
      </c>
      <c r="EC1" t="e">
        <f>AND('Weekly Data Sheets'!T5,"AAAAAHP874Q=")</f>
        <v>#VALUE!</v>
      </c>
      <c r="ED1" t="e">
        <f>AND('Weekly Data Sheets'!U5,"AAAAAHP874U=")</f>
        <v>#VALUE!</v>
      </c>
      <c r="EE1" t="e">
        <f>AND('Weekly Data Sheets'!V5,"AAAAAHP874Y=")</f>
        <v>#VALUE!</v>
      </c>
      <c r="EF1" t="e">
        <f>AND('Weekly Data Sheets'!W5,"AAAAAHP874c=")</f>
        <v>#VALUE!</v>
      </c>
      <c r="EG1" t="e">
        <f>AND('Weekly Data Sheets'!X5,"AAAAAHP874g=")</f>
        <v>#VALUE!</v>
      </c>
      <c r="EH1" t="e">
        <f>AND('Weekly Data Sheets'!Y5,"AAAAAHP874k=")</f>
        <v>#VALUE!</v>
      </c>
      <c r="EI1" t="e">
        <f>AND('Weekly Data Sheets'!Z5,"AAAAAHP874o=")</f>
        <v>#VALUE!</v>
      </c>
      <c r="EJ1" t="e">
        <f>AND('Weekly Data Sheets'!AA5,"AAAAAHP874s=")</f>
        <v>#VALUE!</v>
      </c>
      <c r="EK1">
        <f>IF('Weekly Data Sheets'!6:6,"AAAAAHP874w=",0)</f>
        <v>0</v>
      </c>
      <c r="EL1" t="e">
        <f>AND('Weekly Data Sheets'!A6,"AAAAAHP8740=")</f>
        <v>#VALUE!</v>
      </c>
      <c r="EM1" t="e">
        <f>AND('Weekly Data Sheets'!B6,"AAAAAHP8744=")</f>
        <v>#VALUE!</v>
      </c>
      <c r="EN1" t="e">
        <f>AND('Weekly Data Sheets'!C6,"AAAAAHP8748=")</f>
        <v>#VALUE!</v>
      </c>
      <c r="EO1" t="e">
        <f>AND('Weekly Data Sheets'!D6,"AAAAAHP875A=")</f>
        <v>#VALUE!</v>
      </c>
      <c r="EP1" t="e">
        <f>AND('Weekly Data Sheets'!E6,"AAAAAHP875E=")</f>
        <v>#VALUE!</v>
      </c>
      <c r="EQ1" t="e">
        <f>AND('Weekly Data Sheets'!F6,"AAAAAHP875I=")</f>
        <v>#VALUE!</v>
      </c>
      <c r="ER1" t="e">
        <f>AND('Weekly Data Sheets'!G6,"AAAAAHP875M=")</f>
        <v>#VALUE!</v>
      </c>
      <c r="ES1" t="e">
        <f>AND('Weekly Data Sheets'!H6,"AAAAAHP875Q=")</f>
        <v>#VALUE!</v>
      </c>
      <c r="ET1" t="e">
        <f>AND('Weekly Data Sheets'!I6,"AAAAAHP875U=")</f>
        <v>#VALUE!</v>
      </c>
      <c r="EU1" t="e">
        <f>AND('Weekly Data Sheets'!J6,"AAAAAHP875Y=")</f>
        <v>#VALUE!</v>
      </c>
      <c r="EV1" t="e">
        <f>AND('Weekly Data Sheets'!K6,"AAAAAHP875c=")</f>
        <v>#VALUE!</v>
      </c>
      <c r="EW1" t="e">
        <f>AND('Weekly Data Sheets'!L6,"AAAAAHP875g=")</f>
        <v>#VALUE!</v>
      </c>
      <c r="EX1" t="e">
        <f>AND('Weekly Data Sheets'!M6,"AAAAAHP875k=")</f>
        <v>#VALUE!</v>
      </c>
      <c r="EY1" t="e">
        <f>AND('Weekly Data Sheets'!N6,"AAAAAHP875o=")</f>
        <v>#VALUE!</v>
      </c>
      <c r="EZ1" t="e">
        <f>AND('Weekly Data Sheets'!O6,"AAAAAHP875s=")</f>
        <v>#VALUE!</v>
      </c>
      <c r="FA1" t="e">
        <f>AND('Weekly Data Sheets'!P6,"AAAAAHP875w=")</f>
        <v>#VALUE!</v>
      </c>
      <c r="FB1" t="e">
        <f>AND('Weekly Data Sheets'!Q6,"AAAAAHP8750=")</f>
        <v>#VALUE!</v>
      </c>
      <c r="FC1" t="e">
        <f>AND('Weekly Data Sheets'!R6,"AAAAAHP8754=")</f>
        <v>#VALUE!</v>
      </c>
      <c r="FD1" t="e">
        <f>AND('Weekly Data Sheets'!S6,"AAAAAHP8758=")</f>
        <v>#VALUE!</v>
      </c>
      <c r="FE1" t="e">
        <f>AND('Weekly Data Sheets'!T6,"AAAAAHP876A=")</f>
        <v>#VALUE!</v>
      </c>
      <c r="FF1" t="e">
        <f>AND('Weekly Data Sheets'!U6,"AAAAAHP876E=")</f>
        <v>#VALUE!</v>
      </c>
      <c r="FG1" t="e">
        <f>AND('Weekly Data Sheets'!V6,"AAAAAHP876I=")</f>
        <v>#VALUE!</v>
      </c>
      <c r="FH1" t="e">
        <f>AND('Weekly Data Sheets'!W6,"AAAAAHP876M=")</f>
        <v>#VALUE!</v>
      </c>
      <c r="FI1" t="e">
        <f>AND('Weekly Data Sheets'!X6,"AAAAAHP876Q=")</f>
        <v>#VALUE!</v>
      </c>
      <c r="FJ1" t="e">
        <f>AND('Weekly Data Sheets'!Y6,"AAAAAHP876U=")</f>
        <v>#VALUE!</v>
      </c>
      <c r="FK1" t="e">
        <f>AND('Weekly Data Sheets'!Z6,"AAAAAHP876Y=")</f>
        <v>#VALUE!</v>
      </c>
      <c r="FL1" t="e">
        <f>AND('Weekly Data Sheets'!AA6,"AAAAAHP876c=")</f>
        <v>#VALUE!</v>
      </c>
      <c r="FM1">
        <f>IF('Weekly Data Sheets'!7:7,"AAAAAHP876g=",0)</f>
        <v>0</v>
      </c>
      <c r="FN1" t="e">
        <f>AND('Weekly Data Sheets'!A7,"AAAAAHP876k=")</f>
        <v>#VALUE!</v>
      </c>
      <c r="FO1" t="e">
        <f>AND('Weekly Data Sheets'!B7,"AAAAAHP876o=")</f>
        <v>#VALUE!</v>
      </c>
      <c r="FP1" t="e">
        <f>AND('Weekly Data Sheets'!C7,"AAAAAHP876s=")</f>
        <v>#VALUE!</v>
      </c>
      <c r="FQ1" t="e">
        <f>AND('Weekly Data Sheets'!D7,"AAAAAHP876w=")</f>
        <v>#VALUE!</v>
      </c>
      <c r="FR1" t="e">
        <f>AND('Weekly Data Sheets'!E7,"AAAAAHP8760=")</f>
        <v>#VALUE!</v>
      </c>
      <c r="FS1" t="e">
        <f>AND('Weekly Data Sheets'!F7,"AAAAAHP8764=")</f>
        <v>#VALUE!</v>
      </c>
      <c r="FT1" t="e">
        <f>AND('Weekly Data Sheets'!G7,"AAAAAHP8768=")</f>
        <v>#VALUE!</v>
      </c>
      <c r="FU1" t="e">
        <f>AND('Weekly Data Sheets'!H7,"AAAAAHP877A=")</f>
        <v>#VALUE!</v>
      </c>
      <c r="FV1" t="e">
        <f>AND('Weekly Data Sheets'!I7,"AAAAAHP877E=")</f>
        <v>#VALUE!</v>
      </c>
      <c r="FW1" t="e">
        <f>AND('Weekly Data Sheets'!J7,"AAAAAHP877I=")</f>
        <v>#VALUE!</v>
      </c>
      <c r="FX1" t="e">
        <f>AND('Weekly Data Sheets'!K7,"AAAAAHP877M=")</f>
        <v>#VALUE!</v>
      </c>
      <c r="FY1" t="e">
        <f>AND('Weekly Data Sheets'!L7,"AAAAAHP877Q=")</f>
        <v>#VALUE!</v>
      </c>
      <c r="FZ1" t="e">
        <f>AND('Weekly Data Sheets'!M7,"AAAAAHP877U=")</f>
        <v>#VALUE!</v>
      </c>
      <c r="GA1" t="e">
        <f>AND('Weekly Data Sheets'!N7,"AAAAAHP877Y=")</f>
        <v>#VALUE!</v>
      </c>
      <c r="GB1" t="e">
        <f>AND('Weekly Data Sheets'!O7,"AAAAAHP877c=")</f>
        <v>#VALUE!</v>
      </c>
      <c r="GC1" t="e">
        <f>AND('Weekly Data Sheets'!P7,"AAAAAHP877g=")</f>
        <v>#VALUE!</v>
      </c>
      <c r="GD1" t="e">
        <f>AND('Weekly Data Sheets'!Q7,"AAAAAHP877k=")</f>
        <v>#VALUE!</v>
      </c>
      <c r="GE1" t="e">
        <f>AND('Weekly Data Sheets'!R7,"AAAAAHP877o=")</f>
        <v>#VALUE!</v>
      </c>
      <c r="GF1" t="e">
        <f>AND('Weekly Data Sheets'!S7,"AAAAAHP877s=")</f>
        <v>#VALUE!</v>
      </c>
      <c r="GG1" t="e">
        <f>AND('Weekly Data Sheets'!T7,"AAAAAHP877w=")</f>
        <v>#VALUE!</v>
      </c>
      <c r="GH1" t="e">
        <f>AND('Weekly Data Sheets'!U7,"AAAAAHP8770=")</f>
        <v>#VALUE!</v>
      </c>
      <c r="GI1" t="e">
        <f>AND('Weekly Data Sheets'!V7,"AAAAAHP8774=")</f>
        <v>#VALUE!</v>
      </c>
      <c r="GJ1" t="e">
        <f>AND('Weekly Data Sheets'!W7,"AAAAAHP8778=")</f>
        <v>#VALUE!</v>
      </c>
      <c r="GK1" t="e">
        <f>AND('Weekly Data Sheets'!X7,"AAAAAHP878A=")</f>
        <v>#VALUE!</v>
      </c>
      <c r="GL1" t="e">
        <f>AND('Weekly Data Sheets'!Y7,"AAAAAHP878E=")</f>
        <v>#VALUE!</v>
      </c>
      <c r="GM1" t="e">
        <f>AND('Weekly Data Sheets'!Z7,"AAAAAHP878I=")</f>
        <v>#VALUE!</v>
      </c>
      <c r="GN1" t="e">
        <f>AND('Weekly Data Sheets'!AA7,"AAAAAHP878M=")</f>
        <v>#VALUE!</v>
      </c>
      <c r="GO1">
        <f>IF('Weekly Data Sheets'!8:8,"AAAAAHP878Q=",0)</f>
        <v>0</v>
      </c>
      <c r="GP1" t="e">
        <f>AND('Weekly Data Sheets'!A8,"AAAAAHP878U=")</f>
        <v>#VALUE!</v>
      </c>
      <c r="GQ1" t="e">
        <f>AND('Weekly Data Sheets'!B8,"AAAAAHP878Y=")</f>
        <v>#VALUE!</v>
      </c>
      <c r="GR1" t="e">
        <f>AND('Weekly Data Sheets'!C8,"AAAAAHP878c=")</f>
        <v>#VALUE!</v>
      </c>
      <c r="GS1" t="e">
        <f>AND('Weekly Data Sheets'!D8,"AAAAAHP878g=")</f>
        <v>#VALUE!</v>
      </c>
      <c r="GT1" t="e">
        <f>AND('Weekly Data Sheets'!E8,"AAAAAHP878k=")</f>
        <v>#VALUE!</v>
      </c>
      <c r="GU1" t="e">
        <f>AND('Weekly Data Sheets'!F8,"AAAAAHP878o=")</f>
        <v>#VALUE!</v>
      </c>
      <c r="GV1" t="e">
        <f>AND('Weekly Data Sheets'!G8,"AAAAAHP878s=")</f>
        <v>#VALUE!</v>
      </c>
      <c r="GW1" t="e">
        <f>AND('Weekly Data Sheets'!H8,"AAAAAHP878w=")</f>
        <v>#VALUE!</v>
      </c>
      <c r="GX1" t="e">
        <f>AND('Weekly Data Sheets'!I8,"AAAAAHP8780=")</f>
        <v>#VALUE!</v>
      </c>
      <c r="GY1" t="e">
        <f>AND('Weekly Data Sheets'!J8,"AAAAAHP8784=")</f>
        <v>#VALUE!</v>
      </c>
      <c r="GZ1" t="e">
        <f>AND('Weekly Data Sheets'!K8,"AAAAAHP8788=")</f>
        <v>#VALUE!</v>
      </c>
      <c r="HA1" t="e">
        <f>AND('Weekly Data Sheets'!L8,"AAAAAHP879A=")</f>
        <v>#VALUE!</v>
      </c>
      <c r="HB1" t="e">
        <f>AND('Weekly Data Sheets'!M8,"AAAAAHP879E=")</f>
        <v>#VALUE!</v>
      </c>
      <c r="HC1" t="e">
        <f>AND('Weekly Data Sheets'!N8,"AAAAAHP879I=")</f>
        <v>#VALUE!</v>
      </c>
      <c r="HD1" t="e">
        <f>AND('Weekly Data Sheets'!O8,"AAAAAHP879M=")</f>
        <v>#VALUE!</v>
      </c>
      <c r="HE1" t="e">
        <f>AND('Weekly Data Sheets'!P8,"AAAAAHP879Q=")</f>
        <v>#VALUE!</v>
      </c>
      <c r="HF1" t="e">
        <f>AND('Weekly Data Sheets'!Q8,"AAAAAHP879U=")</f>
        <v>#VALUE!</v>
      </c>
      <c r="HG1" t="e">
        <f>AND('Weekly Data Sheets'!R8,"AAAAAHP879Y=")</f>
        <v>#VALUE!</v>
      </c>
      <c r="HH1" t="e">
        <f>AND('Weekly Data Sheets'!S8,"AAAAAHP879c=")</f>
        <v>#VALUE!</v>
      </c>
      <c r="HI1" t="e">
        <f>AND('Weekly Data Sheets'!T8,"AAAAAHP879g=")</f>
        <v>#VALUE!</v>
      </c>
      <c r="HJ1" t="e">
        <f>AND('Weekly Data Sheets'!U8,"AAAAAHP879k=")</f>
        <v>#VALUE!</v>
      </c>
      <c r="HK1" t="e">
        <f>AND('Weekly Data Sheets'!V8,"AAAAAHP879o=")</f>
        <v>#VALUE!</v>
      </c>
      <c r="HL1" t="e">
        <f>AND('Weekly Data Sheets'!W8,"AAAAAHP879s=")</f>
        <v>#VALUE!</v>
      </c>
      <c r="HM1" t="e">
        <f>AND('Weekly Data Sheets'!X8,"AAAAAHP879w=")</f>
        <v>#VALUE!</v>
      </c>
      <c r="HN1" t="e">
        <f>AND('Weekly Data Sheets'!Y8,"AAAAAHP8790=")</f>
        <v>#VALUE!</v>
      </c>
      <c r="HO1" t="e">
        <f>AND('Weekly Data Sheets'!Z8,"AAAAAHP8794=")</f>
        <v>#VALUE!</v>
      </c>
      <c r="HP1" t="e">
        <f>AND('Weekly Data Sheets'!AA8,"AAAAAHP8798=")</f>
        <v>#VALUE!</v>
      </c>
      <c r="HQ1">
        <f>IF('Weekly Data Sheets'!9:9,"AAAAAHP87+A=",0)</f>
        <v>0</v>
      </c>
      <c r="HR1" t="e">
        <f>AND('Weekly Data Sheets'!A9,"AAAAAHP87+E=")</f>
        <v>#VALUE!</v>
      </c>
      <c r="HS1" t="e">
        <f>AND('Weekly Data Sheets'!B9,"AAAAAHP87+I=")</f>
        <v>#VALUE!</v>
      </c>
      <c r="HT1" t="e">
        <f>AND('Weekly Data Sheets'!C9,"AAAAAHP87+M=")</f>
        <v>#VALUE!</v>
      </c>
      <c r="HU1" t="e">
        <f>AND('Weekly Data Sheets'!D9,"AAAAAHP87+Q=")</f>
        <v>#VALUE!</v>
      </c>
      <c r="HV1" t="e">
        <f>AND('Weekly Data Sheets'!E9,"AAAAAHP87+U=")</f>
        <v>#VALUE!</v>
      </c>
      <c r="HW1" t="e">
        <f>AND('Weekly Data Sheets'!F9,"AAAAAHP87+Y=")</f>
        <v>#VALUE!</v>
      </c>
      <c r="HX1" t="e">
        <f>AND('Weekly Data Sheets'!G9,"AAAAAHP87+c=")</f>
        <v>#VALUE!</v>
      </c>
      <c r="HY1" t="e">
        <f>AND('Weekly Data Sheets'!H9,"AAAAAHP87+g=")</f>
        <v>#VALUE!</v>
      </c>
      <c r="HZ1" t="e">
        <f>AND('Weekly Data Sheets'!I9,"AAAAAHP87+k=")</f>
        <v>#VALUE!</v>
      </c>
      <c r="IA1" t="e">
        <f>AND('Weekly Data Sheets'!J9,"AAAAAHP87+o=")</f>
        <v>#VALUE!</v>
      </c>
      <c r="IB1" t="e">
        <f>AND('Weekly Data Sheets'!K9,"AAAAAHP87+s=")</f>
        <v>#VALUE!</v>
      </c>
      <c r="IC1" t="e">
        <f>AND('Weekly Data Sheets'!L9,"AAAAAHP87+w=")</f>
        <v>#VALUE!</v>
      </c>
      <c r="ID1" t="e">
        <f>AND('Weekly Data Sheets'!M9,"AAAAAHP87+0=")</f>
        <v>#VALUE!</v>
      </c>
      <c r="IE1" t="e">
        <f>AND('Weekly Data Sheets'!N9,"AAAAAHP87+4=")</f>
        <v>#VALUE!</v>
      </c>
      <c r="IF1" t="e">
        <f>AND('Weekly Data Sheets'!O9,"AAAAAHP87+8=")</f>
        <v>#VALUE!</v>
      </c>
      <c r="IG1" t="e">
        <f>AND('Weekly Data Sheets'!P9,"AAAAAHP87/A=")</f>
        <v>#VALUE!</v>
      </c>
      <c r="IH1" t="e">
        <f>AND('Weekly Data Sheets'!Q9,"AAAAAHP87/E=")</f>
        <v>#VALUE!</v>
      </c>
      <c r="II1" t="e">
        <f>AND('Weekly Data Sheets'!R9,"AAAAAHP87/I=")</f>
        <v>#VALUE!</v>
      </c>
      <c r="IJ1" t="e">
        <f>AND('Weekly Data Sheets'!S9,"AAAAAHP87/M=")</f>
        <v>#VALUE!</v>
      </c>
      <c r="IK1" t="e">
        <f>AND('Weekly Data Sheets'!T9,"AAAAAHP87/Q=")</f>
        <v>#VALUE!</v>
      </c>
      <c r="IL1" t="e">
        <f>AND('Weekly Data Sheets'!U9,"AAAAAHP87/U=")</f>
        <v>#VALUE!</v>
      </c>
      <c r="IM1" t="e">
        <f>AND('Weekly Data Sheets'!V9,"AAAAAHP87/Y=")</f>
        <v>#VALUE!</v>
      </c>
      <c r="IN1" t="e">
        <f>AND('Weekly Data Sheets'!W9,"AAAAAHP87/c=")</f>
        <v>#VALUE!</v>
      </c>
      <c r="IO1" t="e">
        <f>AND('Weekly Data Sheets'!X9,"AAAAAHP87/g=")</f>
        <v>#VALUE!</v>
      </c>
      <c r="IP1" t="e">
        <f>AND('Weekly Data Sheets'!Y9,"AAAAAHP87/k=")</f>
        <v>#VALUE!</v>
      </c>
      <c r="IQ1" t="e">
        <f>AND('Weekly Data Sheets'!Z9,"AAAAAHP87/o=")</f>
        <v>#VALUE!</v>
      </c>
      <c r="IR1" t="e">
        <f>AND('Weekly Data Sheets'!AA9,"AAAAAHP87/s=")</f>
        <v>#VALUE!</v>
      </c>
      <c r="IS1">
        <f>IF('Weekly Data Sheets'!10:10,"AAAAAHP87/w=",0)</f>
        <v>0</v>
      </c>
      <c r="IT1" t="e">
        <f>AND('Weekly Data Sheets'!A10,"AAAAAHP87/0=")</f>
        <v>#VALUE!</v>
      </c>
      <c r="IU1" t="e">
        <f>AND('Weekly Data Sheets'!B10,"AAAAAHP87/4=")</f>
        <v>#VALUE!</v>
      </c>
      <c r="IV1" t="e">
        <f>AND('Weekly Data Sheets'!C10,"AAAAAHP87/8=")</f>
        <v>#VALUE!</v>
      </c>
    </row>
    <row r="2" spans="1:256" ht="12.75">
      <c r="A2" t="e">
        <f>AND('Weekly Data Sheets'!D10,"AAAAAEdu3QA=")</f>
        <v>#VALUE!</v>
      </c>
      <c r="B2" t="e">
        <f>AND('Weekly Data Sheets'!E10,"AAAAAEdu3QE=")</f>
        <v>#VALUE!</v>
      </c>
      <c r="C2" t="e">
        <f>AND('Weekly Data Sheets'!F10,"AAAAAEdu3QI=")</f>
        <v>#VALUE!</v>
      </c>
      <c r="D2" t="e">
        <f>AND('Weekly Data Sheets'!G10,"AAAAAEdu3QM=")</f>
        <v>#VALUE!</v>
      </c>
      <c r="E2" t="e">
        <f>AND('Weekly Data Sheets'!H10,"AAAAAEdu3QQ=")</f>
        <v>#VALUE!</v>
      </c>
      <c r="F2" t="e">
        <f>AND('Weekly Data Sheets'!I10,"AAAAAEdu3QU=")</f>
        <v>#VALUE!</v>
      </c>
      <c r="G2" t="e">
        <f>AND('Weekly Data Sheets'!J10,"AAAAAEdu3QY=")</f>
        <v>#VALUE!</v>
      </c>
      <c r="H2" t="e">
        <f>AND('Weekly Data Sheets'!K10,"AAAAAEdu3Qc=")</f>
        <v>#VALUE!</v>
      </c>
      <c r="I2" t="e">
        <f>AND('Weekly Data Sheets'!L10,"AAAAAEdu3Qg=")</f>
        <v>#VALUE!</v>
      </c>
      <c r="J2" t="e">
        <f>AND('Weekly Data Sheets'!M10,"AAAAAEdu3Qk=")</f>
        <v>#VALUE!</v>
      </c>
      <c r="K2" t="e">
        <f>AND('Weekly Data Sheets'!N10,"AAAAAEdu3Qo=")</f>
        <v>#VALUE!</v>
      </c>
      <c r="L2" t="e">
        <f>AND('Weekly Data Sheets'!O10,"AAAAAEdu3Qs=")</f>
        <v>#VALUE!</v>
      </c>
      <c r="M2" t="e">
        <f>AND('Weekly Data Sheets'!P10,"AAAAAEdu3Qw=")</f>
        <v>#VALUE!</v>
      </c>
      <c r="N2" t="e">
        <f>AND('Weekly Data Sheets'!Q10,"AAAAAEdu3Q0=")</f>
        <v>#VALUE!</v>
      </c>
      <c r="O2" t="e">
        <f>AND('Weekly Data Sheets'!R10,"AAAAAEdu3Q4=")</f>
        <v>#VALUE!</v>
      </c>
      <c r="P2" t="e">
        <f>AND('Weekly Data Sheets'!S10,"AAAAAEdu3Q8=")</f>
        <v>#VALUE!</v>
      </c>
      <c r="Q2" t="e">
        <f>AND('Weekly Data Sheets'!T10,"AAAAAEdu3RA=")</f>
        <v>#VALUE!</v>
      </c>
      <c r="R2" t="e">
        <f>AND('Weekly Data Sheets'!U10,"AAAAAEdu3RE=")</f>
        <v>#VALUE!</v>
      </c>
      <c r="S2" t="e">
        <f>AND('Weekly Data Sheets'!V10,"AAAAAEdu3RI=")</f>
        <v>#VALUE!</v>
      </c>
      <c r="T2" t="e">
        <f>AND('Weekly Data Sheets'!W10,"AAAAAEdu3RM=")</f>
        <v>#VALUE!</v>
      </c>
      <c r="U2" t="e">
        <f>AND('Weekly Data Sheets'!X10,"AAAAAEdu3RQ=")</f>
        <v>#VALUE!</v>
      </c>
      <c r="V2" t="e">
        <f>AND('Weekly Data Sheets'!Y10,"AAAAAEdu3RU=")</f>
        <v>#VALUE!</v>
      </c>
      <c r="W2" t="e">
        <f>AND('Weekly Data Sheets'!Z10,"AAAAAEdu3RY=")</f>
        <v>#VALUE!</v>
      </c>
      <c r="X2" t="e">
        <f>AND('Weekly Data Sheets'!AA10,"AAAAAEdu3Rc=")</f>
        <v>#VALUE!</v>
      </c>
      <c r="Y2">
        <f>IF('Weekly Data Sheets'!11:11,"AAAAAEdu3Rg=",0)</f>
        <v>0</v>
      </c>
      <c r="Z2" t="e">
        <f>AND('Weekly Data Sheets'!A11,"AAAAAEdu3Rk=")</f>
        <v>#VALUE!</v>
      </c>
      <c r="AA2" t="e">
        <f>AND('Weekly Data Sheets'!B11,"AAAAAEdu3Ro=")</f>
        <v>#VALUE!</v>
      </c>
      <c r="AB2" t="e">
        <f>AND('Weekly Data Sheets'!C11,"AAAAAEdu3Rs=")</f>
        <v>#VALUE!</v>
      </c>
      <c r="AC2" t="e">
        <f>AND('Weekly Data Sheets'!D11,"AAAAAEdu3Rw=")</f>
        <v>#VALUE!</v>
      </c>
      <c r="AD2" t="e">
        <f>AND('Weekly Data Sheets'!E11,"AAAAAEdu3R0=")</f>
        <v>#VALUE!</v>
      </c>
      <c r="AE2" t="e">
        <f>AND('Weekly Data Sheets'!F11,"AAAAAEdu3R4=")</f>
        <v>#VALUE!</v>
      </c>
      <c r="AF2" t="e">
        <f>AND('Weekly Data Sheets'!G11,"AAAAAEdu3R8=")</f>
        <v>#VALUE!</v>
      </c>
      <c r="AG2" t="e">
        <f>AND('Weekly Data Sheets'!H11,"AAAAAEdu3SA=")</f>
        <v>#VALUE!</v>
      </c>
      <c r="AH2" t="e">
        <f>AND('Weekly Data Sheets'!I11,"AAAAAEdu3SE=")</f>
        <v>#VALUE!</v>
      </c>
      <c r="AI2" t="e">
        <f>AND('Weekly Data Sheets'!J11,"AAAAAEdu3SI=")</f>
        <v>#VALUE!</v>
      </c>
      <c r="AJ2" t="e">
        <f>AND('Weekly Data Sheets'!K11,"AAAAAEdu3SM=")</f>
        <v>#VALUE!</v>
      </c>
      <c r="AK2" t="e">
        <f>AND('Weekly Data Sheets'!L11,"AAAAAEdu3SQ=")</f>
        <v>#VALUE!</v>
      </c>
      <c r="AL2" t="e">
        <f>AND('Weekly Data Sheets'!M11,"AAAAAEdu3SU=")</f>
        <v>#VALUE!</v>
      </c>
      <c r="AM2" t="e">
        <f>AND('Weekly Data Sheets'!N11,"AAAAAEdu3SY=")</f>
        <v>#VALUE!</v>
      </c>
      <c r="AN2" t="e">
        <f>AND('Weekly Data Sheets'!O11,"AAAAAEdu3Sc=")</f>
        <v>#VALUE!</v>
      </c>
      <c r="AO2" t="e">
        <f>AND('Weekly Data Sheets'!P11,"AAAAAEdu3Sg=")</f>
        <v>#VALUE!</v>
      </c>
      <c r="AP2" t="e">
        <f>AND('Weekly Data Sheets'!Q11,"AAAAAEdu3Sk=")</f>
        <v>#VALUE!</v>
      </c>
      <c r="AQ2" t="e">
        <f>AND('Weekly Data Sheets'!R11,"AAAAAEdu3So=")</f>
        <v>#VALUE!</v>
      </c>
      <c r="AR2" t="e">
        <f>AND('Weekly Data Sheets'!S11,"AAAAAEdu3Ss=")</f>
        <v>#VALUE!</v>
      </c>
      <c r="AS2" t="e">
        <f>AND('Weekly Data Sheets'!T11,"AAAAAEdu3Sw=")</f>
        <v>#VALUE!</v>
      </c>
      <c r="AT2" t="e">
        <f>AND('Weekly Data Sheets'!U11,"AAAAAEdu3S0=")</f>
        <v>#VALUE!</v>
      </c>
      <c r="AU2" t="e">
        <f>AND('Weekly Data Sheets'!V11,"AAAAAEdu3S4=")</f>
        <v>#VALUE!</v>
      </c>
      <c r="AV2" t="e">
        <f>AND('Weekly Data Sheets'!W11,"AAAAAEdu3S8=")</f>
        <v>#VALUE!</v>
      </c>
      <c r="AW2" t="e">
        <f>AND('Weekly Data Sheets'!X11,"AAAAAEdu3TA=")</f>
        <v>#VALUE!</v>
      </c>
      <c r="AX2" t="e">
        <f>AND('Weekly Data Sheets'!Y11,"AAAAAEdu3TE=")</f>
        <v>#VALUE!</v>
      </c>
      <c r="AY2" t="e">
        <f>AND('Weekly Data Sheets'!Z11,"AAAAAEdu3TI=")</f>
        <v>#VALUE!</v>
      </c>
      <c r="AZ2" t="e">
        <f>AND('Weekly Data Sheets'!AA11,"AAAAAEdu3TM=")</f>
        <v>#VALUE!</v>
      </c>
      <c r="BA2">
        <f>IF('Weekly Data Sheets'!12:12,"AAAAAEdu3TQ=",0)</f>
        <v>0</v>
      </c>
      <c r="BB2" t="e">
        <f>AND('Weekly Data Sheets'!A12,"AAAAAEdu3TU=")</f>
        <v>#VALUE!</v>
      </c>
      <c r="BC2" t="e">
        <f>AND('Weekly Data Sheets'!B12,"AAAAAEdu3TY=")</f>
        <v>#VALUE!</v>
      </c>
      <c r="BD2" t="e">
        <f>AND('Weekly Data Sheets'!C12,"AAAAAEdu3Tc=")</f>
        <v>#VALUE!</v>
      </c>
      <c r="BE2" t="e">
        <f>AND('Weekly Data Sheets'!D12,"AAAAAEdu3Tg=")</f>
        <v>#VALUE!</v>
      </c>
      <c r="BF2" t="e">
        <f>AND('Weekly Data Sheets'!E12,"AAAAAEdu3Tk=")</f>
        <v>#VALUE!</v>
      </c>
      <c r="BG2" t="e">
        <f>AND('Weekly Data Sheets'!F12,"AAAAAEdu3To=")</f>
        <v>#VALUE!</v>
      </c>
      <c r="BH2" t="e">
        <f>AND('Weekly Data Sheets'!G12,"AAAAAEdu3Ts=")</f>
        <v>#VALUE!</v>
      </c>
      <c r="BI2" t="e">
        <f>AND('Weekly Data Sheets'!H12,"AAAAAEdu3Tw=")</f>
        <v>#VALUE!</v>
      </c>
      <c r="BJ2" t="e">
        <f>AND('Weekly Data Sheets'!I12,"AAAAAEdu3T0=")</f>
        <v>#VALUE!</v>
      </c>
      <c r="BK2" t="e">
        <f>AND('Weekly Data Sheets'!J12,"AAAAAEdu3T4=")</f>
        <v>#VALUE!</v>
      </c>
      <c r="BL2" t="e">
        <f>AND('Weekly Data Sheets'!K12,"AAAAAEdu3T8=")</f>
        <v>#VALUE!</v>
      </c>
      <c r="BM2" t="e">
        <f>AND('Weekly Data Sheets'!L12,"AAAAAEdu3UA=")</f>
        <v>#VALUE!</v>
      </c>
      <c r="BN2" t="e">
        <f>AND('Weekly Data Sheets'!M12,"AAAAAEdu3UE=")</f>
        <v>#VALUE!</v>
      </c>
      <c r="BO2" t="e">
        <f>AND('Weekly Data Sheets'!N12,"AAAAAEdu3UI=")</f>
        <v>#VALUE!</v>
      </c>
      <c r="BP2" t="e">
        <f>AND('Weekly Data Sheets'!O12,"AAAAAEdu3UM=")</f>
        <v>#VALUE!</v>
      </c>
      <c r="BQ2" t="e">
        <f>AND('Weekly Data Sheets'!P12,"AAAAAEdu3UQ=")</f>
        <v>#VALUE!</v>
      </c>
      <c r="BR2" t="e">
        <f>AND('Weekly Data Sheets'!Q12,"AAAAAEdu3UU=")</f>
        <v>#VALUE!</v>
      </c>
      <c r="BS2" t="e">
        <f>AND('Weekly Data Sheets'!R12,"AAAAAEdu3UY=")</f>
        <v>#VALUE!</v>
      </c>
      <c r="BT2" t="e">
        <f>AND('Weekly Data Sheets'!S12,"AAAAAEdu3Uc=")</f>
        <v>#VALUE!</v>
      </c>
      <c r="BU2" t="e">
        <f>AND('Weekly Data Sheets'!T12,"AAAAAEdu3Ug=")</f>
        <v>#VALUE!</v>
      </c>
      <c r="BV2" t="e">
        <f>AND('Weekly Data Sheets'!U12,"AAAAAEdu3Uk=")</f>
        <v>#VALUE!</v>
      </c>
      <c r="BW2" t="e">
        <f>AND('Weekly Data Sheets'!V12,"AAAAAEdu3Uo=")</f>
        <v>#VALUE!</v>
      </c>
      <c r="BX2" t="e">
        <f>AND('Weekly Data Sheets'!W12,"AAAAAEdu3Us=")</f>
        <v>#VALUE!</v>
      </c>
      <c r="BY2" t="e">
        <f>AND('Weekly Data Sheets'!X12,"AAAAAEdu3Uw=")</f>
        <v>#VALUE!</v>
      </c>
      <c r="BZ2" t="e">
        <f>AND('Weekly Data Sheets'!Y12,"AAAAAEdu3U0=")</f>
        <v>#VALUE!</v>
      </c>
      <c r="CA2" t="e">
        <f>AND('Weekly Data Sheets'!Z12,"AAAAAEdu3U4=")</f>
        <v>#VALUE!</v>
      </c>
      <c r="CB2" t="e">
        <f>AND('Weekly Data Sheets'!AA12,"AAAAAEdu3U8=")</f>
        <v>#VALUE!</v>
      </c>
      <c r="CC2">
        <f>IF('Weekly Data Sheets'!13:13,"AAAAAEdu3VA=",0)</f>
        <v>0</v>
      </c>
      <c r="CD2" t="e">
        <f>AND('Weekly Data Sheets'!A13,"AAAAAEdu3VE=")</f>
        <v>#VALUE!</v>
      </c>
      <c r="CE2" t="e">
        <f>AND('Weekly Data Sheets'!B13,"AAAAAEdu3VI=")</f>
        <v>#VALUE!</v>
      </c>
      <c r="CF2" t="e">
        <f>AND('Weekly Data Sheets'!C13,"AAAAAEdu3VM=")</f>
        <v>#VALUE!</v>
      </c>
      <c r="CG2" t="e">
        <f>AND('Weekly Data Sheets'!D13,"AAAAAEdu3VQ=")</f>
        <v>#VALUE!</v>
      </c>
      <c r="CH2" t="e">
        <f>AND('Weekly Data Sheets'!E13,"AAAAAEdu3VU=")</f>
        <v>#VALUE!</v>
      </c>
      <c r="CI2" t="e">
        <f>AND('Weekly Data Sheets'!F13,"AAAAAEdu3VY=")</f>
        <v>#VALUE!</v>
      </c>
      <c r="CJ2" t="e">
        <f>AND('Weekly Data Sheets'!G13,"AAAAAEdu3Vc=")</f>
        <v>#VALUE!</v>
      </c>
      <c r="CK2" t="e">
        <f>AND('Weekly Data Sheets'!H13,"AAAAAEdu3Vg=")</f>
        <v>#VALUE!</v>
      </c>
      <c r="CL2" t="e">
        <f>AND('Weekly Data Sheets'!I13,"AAAAAEdu3Vk=")</f>
        <v>#VALUE!</v>
      </c>
      <c r="CM2" t="e">
        <f>AND('Weekly Data Sheets'!J13,"AAAAAEdu3Vo=")</f>
        <v>#VALUE!</v>
      </c>
      <c r="CN2" t="e">
        <f>AND('Weekly Data Sheets'!K13,"AAAAAEdu3Vs=")</f>
        <v>#VALUE!</v>
      </c>
      <c r="CO2" t="e">
        <f>AND('Weekly Data Sheets'!L13,"AAAAAEdu3Vw=")</f>
        <v>#VALUE!</v>
      </c>
      <c r="CP2" t="e">
        <f>AND('Weekly Data Sheets'!M13,"AAAAAEdu3V0=")</f>
        <v>#VALUE!</v>
      </c>
      <c r="CQ2" t="e">
        <f>AND('Weekly Data Sheets'!N13,"AAAAAEdu3V4=")</f>
        <v>#VALUE!</v>
      </c>
      <c r="CR2" t="e">
        <f>AND('Weekly Data Sheets'!O13,"AAAAAEdu3V8=")</f>
        <v>#VALUE!</v>
      </c>
      <c r="CS2" t="e">
        <f>AND('Weekly Data Sheets'!P13,"AAAAAEdu3WA=")</f>
        <v>#VALUE!</v>
      </c>
      <c r="CT2" t="e">
        <f>AND('Weekly Data Sheets'!Q13,"AAAAAEdu3WE=")</f>
        <v>#VALUE!</v>
      </c>
      <c r="CU2" t="e">
        <f>AND('Weekly Data Sheets'!R13,"AAAAAEdu3WI=")</f>
        <v>#VALUE!</v>
      </c>
      <c r="CV2" t="e">
        <f>AND('Weekly Data Sheets'!S13,"AAAAAEdu3WM=")</f>
        <v>#VALUE!</v>
      </c>
      <c r="CW2" t="e">
        <f>AND('Weekly Data Sheets'!T13,"AAAAAEdu3WQ=")</f>
        <v>#VALUE!</v>
      </c>
      <c r="CX2" t="e">
        <f>AND('Weekly Data Sheets'!U13,"AAAAAEdu3WU=")</f>
        <v>#VALUE!</v>
      </c>
      <c r="CY2" t="e">
        <f>AND('Weekly Data Sheets'!V13,"AAAAAEdu3WY=")</f>
        <v>#VALUE!</v>
      </c>
      <c r="CZ2" t="e">
        <f>AND('Weekly Data Sheets'!W13,"AAAAAEdu3Wc=")</f>
        <v>#VALUE!</v>
      </c>
      <c r="DA2" t="e">
        <f>AND('Weekly Data Sheets'!X13,"AAAAAEdu3Wg=")</f>
        <v>#VALUE!</v>
      </c>
      <c r="DB2" t="e">
        <f>AND('Weekly Data Sheets'!Y13,"AAAAAEdu3Wk=")</f>
        <v>#VALUE!</v>
      </c>
      <c r="DC2" t="e">
        <f>AND('Weekly Data Sheets'!Z13,"AAAAAEdu3Wo=")</f>
        <v>#VALUE!</v>
      </c>
      <c r="DD2" t="e">
        <f>AND('Weekly Data Sheets'!AA13,"AAAAAEdu3Ws=")</f>
        <v>#VALUE!</v>
      </c>
      <c r="DE2">
        <f>IF('Weekly Data Sheets'!14:14,"AAAAAEdu3Ww=",0)</f>
        <v>0</v>
      </c>
      <c r="DF2" t="e">
        <f>AND('Weekly Data Sheets'!A14,"AAAAAEdu3W0=")</f>
        <v>#VALUE!</v>
      </c>
      <c r="DG2" t="e">
        <f>AND('Weekly Data Sheets'!B14,"AAAAAEdu3W4=")</f>
        <v>#VALUE!</v>
      </c>
      <c r="DH2" t="e">
        <f>AND('Weekly Data Sheets'!C14,"AAAAAEdu3W8=")</f>
        <v>#VALUE!</v>
      </c>
      <c r="DI2" t="e">
        <f>AND('Weekly Data Sheets'!D14,"AAAAAEdu3XA=")</f>
        <v>#VALUE!</v>
      </c>
      <c r="DJ2" t="e">
        <f>AND('Weekly Data Sheets'!E14,"AAAAAEdu3XE=")</f>
        <v>#VALUE!</v>
      </c>
      <c r="DK2" t="e">
        <f>AND('Weekly Data Sheets'!F14,"AAAAAEdu3XI=")</f>
        <v>#VALUE!</v>
      </c>
      <c r="DL2" t="e">
        <f>AND('Weekly Data Sheets'!G14,"AAAAAEdu3XM=")</f>
        <v>#VALUE!</v>
      </c>
      <c r="DM2" t="e">
        <f>AND('Weekly Data Sheets'!H14,"AAAAAEdu3XQ=")</f>
        <v>#VALUE!</v>
      </c>
      <c r="DN2" t="e">
        <f>AND('Weekly Data Sheets'!I14,"AAAAAEdu3XU=")</f>
        <v>#VALUE!</v>
      </c>
      <c r="DO2" t="e">
        <f>AND('Weekly Data Sheets'!J14,"AAAAAEdu3XY=")</f>
        <v>#VALUE!</v>
      </c>
      <c r="DP2" t="e">
        <f>AND('Weekly Data Sheets'!K14,"AAAAAEdu3Xc=")</f>
        <v>#VALUE!</v>
      </c>
      <c r="DQ2" t="e">
        <f>AND('Weekly Data Sheets'!L14,"AAAAAEdu3Xg=")</f>
        <v>#VALUE!</v>
      </c>
      <c r="DR2" t="e">
        <f>AND('Weekly Data Sheets'!M14,"AAAAAEdu3Xk=")</f>
        <v>#VALUE!</v>
      </c>
      <c r="DS2" t="e">
        <f>AND('Weekly Data Sheets'!N14,"AAAAAEdu3Xo=")</f>
        <v>#VALUE!</v>
      </c>
      <c r="DT2" t="e">
        <f>AND('Weekly Data Sheets'!O14,"AAAAAEdu3Xs=")</f>
        <v>#VALUE!</v>
      </c>
      <c r="DU2" t="e">
        <f>AND('Weekly Data Sheets'!P14,"AAAAAEdu3Xw=")</f>
        <v>#VALUE!</v>
      </c>
      <c r="DV2" t="e">
        <f>AND('Weekly Data Sheets'!Q14,"AAAAAEdu3X0=")</f>
        <v>#VALUE!</v>
      </c>
      <c r="DW2" t="e">
        <f>AND('Weekly Data Sheets'!R14,"AAAAAEdu3X4=")</f>
        <v>#VALUE!</v>
      </c>
      <c r="DX2" t="e">
        <f>AND('Weekly Data Sheets'!S14,"AAAAAEdu3X8=")</f>
        <v>#VALUE!</v>
      </c>
      <c r="DY2" t="e">
        <f>AND('Weekly Data Sheets'!T14,"AAAAAEdu3YA=")</f>
        <v>#VALUE!</v>
      </c>
      <c r="DZ2" t="e">
        <f>AND('Weekly Data Sheets'!U14,"AAAAAEdu3YE=")</f>
        <v>#VALUE!</v>
      </c>
      <c r="EA2" t="e">
        <f>AND('Weekly Data Sheets'!V14,"AAAAAEdu3YI=")</f>
        <v>#VALUE!</v>
      </c>
      <c r="EB2" t="e">
        <f>AND('Weekly Data Sheets'!W14,"AAAAAEdu3YM=")</f>
        <v>#VALUE!</v>
      </c>
      <c r="EC2" t="e">
        <f>AND('Weekly Data Sheets'!X14,"AAAAAEdu3YQ=")</f>
        <v>#VALUE!</v>
      </c>
      <c r="ED2" t="e">
        <f>AND('Weekly Data Sheets'!Y14,"AAAAAEdu3YU=")</f>
        <v>#VALUE!</v>
      </c>
      <c r="EE2" t="e">
        <f>AND('Weekly Data Sheets'!Z14,"AAAAAEdu3YY=")</f>
        <v>#VALUE!</v>
      </c>
      <c r="EF2" t="e">
        <f>AND('Weekly Data Sheets'!AA14,"AAAAAEdu3Yc=")</f>
        <v>#VALUE!</v>
      </c>
      <c r="EG2">
        <f>IF('Weekly Data Sheets'!15:15,"AAAAAEdu3Yg=",0)</f>
        <v>0</v>
      </c>
      <c r="EH2" t="e">
        <f>AND('Weekly Data Sheets'!A15,"AAAAAEdu3Yk=")</f>
        <v>#VALUE!</v>
      </c>
      <c r="EI2" t="e">
        <f>AND('Weekly Data Sheets'!B15,"AAAAAEdu3Yo=")</f>
        <v>#VALUE!</v>
      </c>
      <c r="EJ2" t="e">
        <f>AND('Weekly Data Sheets'!C15,"AAAAAEdu3Ys=")</f>
        <v>#VALUE!</v>
      </c>
      <c r="EK2" t="e">
        <f>AND('Weekly Data Sheets'!D15,"AAAAAEdu3Yw=")</f>
        <v>#VALUE!</v>
      </c>
      <c r="EL2" t="e">
        <f>AND('Weekly Data Sheets'!E15,"AAAAAEdu3Y0=")</f>
        <v>#VALUE!</v>
      </c>
      <c r="EM2" t="e">
        <f>AND('Weekly Data Sheets'!F15,"AAAAAEdu3Y4=")</f>
        <v>#VALUE!</v>
      </c>
      <c r="EN2" t="e">
        <f>AND('Weekly Data Sheets'!G15,"AAAAAEdu3Y8=")</f>
        <v>#VALUE!</v>
      </c>
      <c r="EO2" t="e">
        <f>AND('Weekly Data Sheets'!H15,"AAAAAEdu3ZA=")</f>
        <v>#VALUE!</v>
      </c>
      <c r="EP2" t="e">
        <f>AND('Weekly Data Sheets'!I15,"AAAAAEdu3ZE=")</f>
        <v>#VALUE!</v>
      </c>
      <c r="EQ2" t="e">
        <f>AND('Weekly Data Sheets'!J15,"AAAAAEdu3ZI=")</f>
        <v>#VALUE!</v>
      </c>
      <c r="ER2" t="e">
        <f>AND('Weekly Data Sheets'!K15,"AAAAAEdu3ZM=")</f>
        <v>#VALUE!</v>
      </c>
      <c r="ES2" t="e">
        <f>AND('Weekly Data Sheets'!L15,"AAAAAEdu3ZQ=")</f>
        <v>#VALUE!</v>
      </c>
      <c r="ET2" t="e">
        <f>AND('Weekly Data Sheets'!M15,"AAAAAEdu3ZU=")</f>
        <v>#VALUE!</v>
      </c>
      <c r="EU2" t="e">
        <f>AND('Weekly Data Sheets'!N15,"AAAAAEdu3ZY=")</f>
        <v>#VALUE!</v>
      </c>
      <c r="EV2" t="e">
        <f>AND('Weekly Data Sheets'!O15,"AAAAAEdu3Zc=")</f>
        <v>#VALUE!</v>
      </c>
      <c r="EW2" t="e">
        <f>AND('Weekly Data Sheets'!P15,"AAAAAEdu3Zg=")</f>
        <v>#VALUE!</v>
      </c>
      <c r="EX2" t="e">
        <f>AND('Weekly Data Sheets'!Q15,"AAAAAEdu3Zk=")</f>
        <v>#VALUE!</v>
      </c>
      <c r="EY2" t="e">
        <f>AND('Weekly Data Sheets'!R15,"AAAAAEdu3Zo=")</f>
        <v>#VALUE!</v>
      </c>
      <c r="EZ2" t="e">
        <f>AND('Weekly Data Sheets'!S15,"AAAAAEdu3Zs=")</f>
        <v>#VALUE!</v>
      </c>
      <c r="FA2" t="e">
        <f>AND('Weekly Data Sheets'!T15,"AAAAAEdu3Zw=")</f>
        <v>#VALUE!</v>
      </c>
      <c r="FB2" t="e">
        <f>AND('Weekly Data Sheets'!U15,"AAAAAEdu3Z0=")</f>
        <v>#VALUE!</v>
      </c>
      <c r="FC2" t="e">
        <f>AND('Weekly Data Sheets'!V15,"AAAAAEdu3Z4=")</f>
        <v>#VALUE!</v>
      </c>
      <c r="FD2" t="e">
        <f>AND('Weekly Data Sheets'!W15,"AAAAAEdu3Z8=")</f>
        <v>#VALUE!</v>
      </c>
      <c r="FE2" t="e">
        <f>AND('Weekly Data Sheets'!X15,"AAAAAEdu3aA=")</f>
        <v>#VALUE!</v>
      </c>
      <c r="FF2" t="e">
        <f>AND('Weekly Data Sheets'!Y15,"AAAAAEdu3aE=")</f>
        <v>#VALUE!</v>
      </c>
      <c r="FG2" t="e">
        <f>AND('Weekly Data Sheets'!Z15,"AAAAAEdu3aI=")</f>
        <v>#VALUE!</v>
      </c>
      <c r="FH2" t="e">
        <f>AND('Weekly Data Sheets'!AA15,"AAAAAEdu3aM=")</f>
        <v>#VALUE!</v>
      </c>
      <c r="FI2">
        <f>IF('Weekly Data Sheets'!16:16,"AAAAAEdu3aQ=",0)</f>
        <v>0</v>
      </c>
      <c r="FJ2" t="e">
        <f>AND('Weekly Data Sheets'!A16,"AAAAAEdu3aU=")</f>
        <v>#VALUE!</v>
      </c>
      <c r="FK2" t="e">
        <f>AND('Weekly Data Sheets'!B16,"AAAAAEdu3aY=")</f>
        <v>#VALUE!</v>
      </c>
      <c r="FL2" t="e">
        <f>AND('Weekly Data Sheets'!C16,"AAAAAEdu3ac=")</f>
        <v>#VALUE!</v>
      </c>
      <c r="FM2" t="e">
        <f>AND('Weekly Data Sheets'!D16,"AAAAAEdu3ag=")</f>
        <v>#VALUE!</v>
      </c>
      <c r="FN2" t="e">
        <f>AND('Weekly Data Sheets'!E16,"AAAAAEdu3ak=")</f>
        <v>#VALUE!</v>
      </c>
      <c r="FO2" t="e">
        <f>AND('Weekly Data Sheets'!F16,"AAAAAEdu3ao=")</f>
        <v>#VALUE!</v>
      </c>
      <c r="FP2" t="e">
        <f>AND('Weekly Data Sheets'!G16,"AAAAAEdu3as=")</f>
        <v>#VALUE!</v>
      </c>
      <c r="FQ2" t="e">
        <f>AND('Weekly Data Sheets'!H16,"AAAAAEdu3aw=")</f>
        <v>#VALUE!</v>
      </c>
      <c r="FR2" t="e">
        <f>AND('Weekly Data Sheets'!I16,"AAAAAEdu3a0=")</f>
        <v>#VALUE!</v>
      </c>
      <c r="FS2" t="e">
        <f>AND('Weekly Data Sheets'!J16,"AAAAAEdu3a4=")</f>
        <v>#VALUE!</v>
      </c>
      <c r="FT2" t="e">
        <f>AND('Weekly Data Sheets'!K16,"AAAAAEdu3a8=")</f>
        <v>#VALUE!</v>
      </c>
      <c r="FU2" t="e">
        <f>AND('Weekly Data Sheets'!L16,"AAAAAEdu3bA=")</f>
        <v>#VALUE!</v>
      </c>
      <c r="FV2" t="e">
        <f>AND('Weekly Data Sheets'!M16,"AAAAAEdu3bE=")</f>
        <v>#VALUE!</v>
      </c>
      <c r="FW2" t="e">
        <f>AND('Weekly Data Sheets'!N16,"AAAAAEdu3bI=")</f>
        <v>#VALUE!</v>
      </c>
      <c r="FX2" t="e">
        <f>AND('Weekly Data Sheets'!O16,"AAAAAEdu3bM=")</f>
        <v>#VALUE!</v>
      </c>
      <c r="FY2" t="e">
        <f>AND('Weekly Data Sheets'!P16,"AAAAAEdu3bQ=")</f>
        <v>#VALUE!</v>
      </c>
      <c r="FZ2" t="e">
        <f>AND('Weekly Data Sheets'!Q16,"AAAAAEdu3bU=")</f>
        <v>#VALUE!</v>
      </c>
      <c r="GA2" t="e">
        <f>AND('Weekly Data Sheets'!R16,"AAAAAEdu3bY=")</f>
        <v>#VALUE!</v>
      </c>
      <c r="GB2" t="e">
        <f>AND('Weekly Data Sheets'!S16,"AAAAAEdu3bc=")</f>
        <v>#VALUE!</v>
      </c>
      <c r="GC2" t="e">
        <f>AND('Weekly Data Sheets'!T16,"AAAAAEdu3bg=")</f>
        <v>#VALUE!</v>
      </c>
      <c r="GD2" t="e">
        <f>AND('Weekly Data Sheets'!U16,"AAAAAEdu3bk=")</f>
        <v>#VALUE!</v>
      </c>
      <c r="GE2" t="e">
        <f>AND('Weekly Data Sheets'!V16,"AAAAAEdu3bo=")</f>
        <v>#VALUE!</v>
      </c>
      <c r="GF2" t="e">
        <f>AND('Weekly Data Sheets'!W16,"AAAAAEdu3bs=")</f>
        <v>#VALUE!</v>
      </c>
      <c r="GG2" t="e">
        <f>AND('Weekly Data Sheets'!X16,"AAAAAEdu3bw=")</f>
        <v>#VALUE!</v>
      </c>
      <c r="GH2" t="e">
        <f>AND('Weekly Data Sheets'!Y16,"AAAAAEdu3b0=")</f>
        <v>#VALUE!</v>
      </c>
      <c r="GI2" t="e">
        <f>AND('Weekly Data Sheets'!Z16,"AAAAAEdu3b4=")</f>
        <v>#VALUE!</v>
      </c>
      <c r="GJ2" t="e">
        <f>AND('Weekly Data Sheets'!AA16,"AAAAAEdu3b8=")</f>
        <v>#VALUE!</v>
      </c>
      <c r="GK2">
        <f>IF('Weekly Data Sheets'!17:17,"AAAAAEdu3cA=",0)</f>
        <v>0</v>
      </c>
      <c r="GL2" t="e">
        <f>AND('Weekly Data Sheets'!A17,"AAAAAEdu3cE=")</f>
        <v>#VALUE!</v>
      </c>
      <c r="GM2" t="e">
        <f>AND('Weekly Data Sheets'!B17,"AAAAAEdu3cI=")</f>
        <v>#VALUE!</v>
      </c>
      <c r="GN2" t="e">
        <f>AND('Weekly Data Sheets'!C17,"AAAAAEdu3cM=")</f>
        <v>#VALUE!</v>
      </c>
      <c r="GO2" t="e">
        <f>AND('Weekly Data Sheets'!D17,"AAAAAEdu3cQ=")</f>
        <v>#VALUE!</v>
      </c>
      <c r="GP2" t="e">
        <f>AND('Weekly Data Sheets'!E17,"AAAAAEdu3cU=")</f>
        <v>#VALUE!</v>
      </c>
      <c r="GQ2" t="e">
        <f>AND('Weekly Data Sheets'!F17,"AAAAAEdu3cY=")</f>
        <v>#VALUE!</v>
      </c>
      <c r="GR2" t="e">
        <f>AND('Weekly Data Sheets'!G17,"AAAAAEdu3cc=")</f>
        <v>#VALUE!</v>
      </c>
      <c r="GS2" t="e">
        <f>AND('Weekly Data Sheets'!H17,"AAAAAEdu3cg=")</f>
        <v>#VALUE!</v>
      </c>
      <c r="GT2" t="e">
        <f>AND('Weekly Data Sheets'!I17,"AAAAAEdu3ck=")</f>
        <v>#VALUE!</v>
      </c>
      <c r="GU2" t="e">
        <f>AND('Weekly Data Sheets'!J17,"AAAAAEdu3co=")</f>
        <v>#VALUE!</v>
      </c>
      <c r="GV2" t="e">
        <f>AND('Weekly Data Sheets'!K17,"AAAAAEdu3cs=")</f>
        <v>#VALUE!</v>
      </c>
      <c r="GW2" t="e">
        <f>AND('Weekly Data Sheets'!L17,"AAAAAEdu3cw=")</f>
        <v>#VALUE!</v>
      </c>
      <c r="GX2" t="e">
        <f>AND('Weekly Data Sheets'!M17,"AAAAAEdu3c0=")</f>
        <v>#VALUE!</v>
      </c>
      <c r="GY2" t="e">
        <f>AND('Weekly Data Sheets'!N17,"AAAAAEdu3c4=")</f>
        <v>#VALUE!</v>
      </c>
      <c r="GZ2" t="e">
        <f>AND('Weekly Data Sheets'!O17,"AAAAAEdu3c8=")</f>
        <v>#VALUE!</v>
      </c>
      <c r="HA2" t="e">
        <f>AND('Weekly Data Sheets'!P17,"AAAAAEdu3dA=")</f>
        <v>#VALUE!</v>
      </c>
      <c r="HB2" t="e">
        <f>AND('Weekly Data Sheets'!Q17,"AAAAAEdu3dE=")</f>
        <v>#VALUE!</v>
      </c>
      <c r="HC2" t="e">
        <f>AND('Weekly Data Sheets'!R17,"AAAAAEdu3dI=")</f>
        <v>#VALUE!</v>
      </c>
      <c r="HD2" t="e">
        <f>AND('Weekly Data Sheets'!S17,"AAAAAEdu3dM=")</f>
        <v>#VALUE!</v>
      </c>
      <c r="HE2" t="e">
        <f>AND('Weekly Data Sheets'!T17,"AAAAAEdu3dQ=")</f>
        <v>#VALUE!</v>
      </c>
      <c r="HF2" t="e">
        <f>AND('Weekly Data Sheets'!U17,"AAAAAEdu3dU=")</f>
        <v>#VALUE!</v>
      </c>
      <c r="HG2" t="e">
        <f>AND('Weekly Data Sheets'!V17,"AAAAAEdu3dY=")</f>
        <v>#VALUE!</v>
      </c>
      <c r="HH2" t="e">
        <f>AND('Weekly Data Sheets'!W17,"AAAAAEdu3dc=")</f>
        <v>#VALUE!</v>
      </c>
      <c r="HI2" t="e">
        <f>AND('Weekly Data Sheets'!X17,"AAAAAEdu3dg=")</f>
        <v>#VALUE!</v>
      </c>
      <c r="HJ2" t="e">
        <f>AND('Weekly Data Sheets'!Y17,"AAAAAEdu3dk=")</f>
        <v>#VALUE!</v>
      </c>
      <c r="HK2" t="e">
        <f>AND('Weekly Data Sheets'!Z17,"AAAAAEdu3do=")</f>
        <v>#VALUE!</v>
      </c>
      <c r="HL2" t="e">
        <f>AND('Weekly Data Sheets'!AA17,"AAAAAEdu3ds=")</f>
        <v>#VALUE!</v>
      </c>
      <c r="HM2">
        <f>IF('Weekly Data Sheets'!18:18,"AAAAAEdu3dw=",0)</f>
        <v>0</v>
      </c>
      <c r="HN2" t="e">
        <f>AND('Weekly Data Sheets'!A18,"AAAAAEdu3d0=")</f>
        <v>#VALUE!</v>
      </c>
      <c r="HO2" t="e">
        <f>AND('Weekly Data Sheets'!B18,"AAAAAEdu3d4=")</f>
        <v>#VALUE!</v>
      </c>
      <c r="HP2" t="e">
        <f>AND('Weekly Data Sheets'!C18,"AAAAAEdu3d8=")</f>
        <v>#VALUE!</v>
      </c>
      <c r="HQ2" t="e">
        <f>AND('Weekly Data Sheets'!D18,"AAAAAEdu3eA=")</f>
        <v>#VALUE!</v>
      </c>
      <c r="HR2" t="e">
        <f>AND('Weekly Data Sheets'!E18,"AAAAAEdu3eE=")</f>
        <v>#VALUE!</v>
      </c>
      <c r="HS2" t="e">
        <f>AND('Weekly Data Sheets'!F18,"AAAAAEdu3eI=")</f>
        <v>#VALUE!</v>
      </c>
      <c r="HT2" t="e">
        <f>AND('Weekly Data Sheets'!G18,"AAAAAEdu3eM=")</f>
        <v>#VALUE!</v>
      </c>
      <c r="HU2" t="e">
        <f>AND('Weekly Data Sheets'!H18,"AAAAAEdu3eQ=")</f>
        <v>#VALUE!</v>
      </c>
      <c r="HV2" t="e">
        <f>AND('Weekly Data Sheets'!I18,"AAAAAEdu3eU=")</f>
        <v>#VALUE!</v>
      </c>
      <c r="HW2" t="e">
        <f>AND('Weekly Data Sheets'!J18,"AAAAAEdu3eY=")</f>
        <v>#VALUE!</v>
      </c>
      <c r="HX2" t="e">
        <f>AND('Weekly Data Sheets'!K18,"AAAAAEdu3ec=")</f>
        <v>#VALUE!</v>
      </c>
      <c r="HY2" t="e">
        <f>AND('Weekly Data Sheets'!L18,"AAAAAEdu3eg=")</f>
        <v>#VALUE!</v>
      </c>
      <c r="HZ2" t="e">
        <f>AND('Weekly Data Sheets'!M18,"AAAAAEdu3ek=")</f>
        <v>#VALUE!</v>
      </c>
      <c r="IA2" t="e">
        <f>AND('Weekly Data Sheets'!N18,"AAAAAEdu3eo=")</f>
        <v>#VALUE!</v>
      </c>
      <c r="IB2" t="e">
        <f>AND('Weekly Data Sheets'!O18,"AAAAAEdu3es=")</f>
        <v>#VALUE!</v>
      </c>
      <c r="IC2" t="e">
        <f>AND('Weekly Data Sheets'!P18,"AAAAAEdu3ew=")</f>
        <v>#VALUE!</v>
      </c>
      <c r="ID2" t="e">
        <f>AND('Weekly Data Sheets'!Q18,"AAAAAEdu3e0=")</f>
        <v>#VALUE!</v>
      </c>
      <c r="IE2" t="e">
        <f>AND('Weekly Data Sheets'!R18,"AAAAAEdu3e4=")</f>
        <v>#VALUE!</v>
      </c>
      <c r="IF2" t="e">
        <f>AND('Weekly Data Sheets'!S18,"AAAAAEdu3e8=")</f>
        <v>#VALUE!</v>
      </c>
      <c r="IG2" t="e">
        <f>AND('Weekly Data Sheets'!T18,"AAAAAEdu3fA=")</f>
        <v>#VALUE!</v>
      </c>
      <c r="IH2" t="e">
        <f>AND('Weekly Data Sheets'!U18,"AAAAAEdu3fE=")</f>
        <v>#VALUE!</v>
      </c>
      <c r="II2" t="e">
        <f>AND('Weekly Data Sheets'!V18,"AAAAAEdu3fI=")</f>
        <v>#VALUE!</v>
      </c>
      <c r="IJ2" t="e">
        <f>AND('Weekly Data Sheets'!W18,"AAAAAEdu3fM=")</f>
        <v>#VALUE!</v>
      </c>
      <c r="IK2" t="e">
        <f>AND('Weekly Data Sheets'!X18,"AAAAAEdu3fQ=")</f>
        <v>#VALUE!</v>
      </c>
      <c r="IL2" t="e">
        <f>AND('Weekly Data Sheets'!Y18,"AAAAAEdu3fU=")</f>
        <v>#VALUE!</v>
      </c>
      <c r="IM2" t="e">
        <f>AND('Weekly Data Sheets'!Z18,"AAAAAEdu3fY=")</f>
        <v>#VALUE!</v>
      </c>
      <c r="IN2" t="e">
        <f>AND('Weekly Data Sheets'!AA18,"AAAAAEdu3fc=")</f>
        <v>#VALUE!</v>
      </c>
      <c r="IO2">
        <f>IF('Weekly Data Sheets'!19:19,"AAAAAEdu3fg=",0)</f>
        <v>0</v>
      </c>
      <c r="IP2" t="e">
        <f>AND('Weekly Data Sheets'!A19,"AAAAAEdu3fk=")</f>
        <v>#VALUE!</v>
      </c>
      <c r="IQ2" t="e">
        <f>AND('Weekly Data Sheets'!B19,"AAAAAEdu3fo=")</f>
        <v>#VALUE!</v>
      </c>
      <c r="IR2" t="e">
        <f>AND('Weekly Data Sheets'!C19,"AAAAAEdu3fs=")</f>
        <v>#VALUE!</v>
      </c>
      <c r="IS2" t="e">
        <f>AND('Weekly Data Sheets'!D19,"AAAAAEdu3fw=")</f>
        <v>#VALUE!</v>
      </c>
      <c r="IT2" t="e">
        <f>AND('Weekly Data Sheets'!E19,"AAAAAEdu3f0=")</f>
        <v>#VALUE!</v>
      </c>
      <c r="IU2" t="e">
        <f>AND('Weekly Data Sheets'!F19,"AAAAAEdu3f4=")</f>
        <v>#VALUE!</v>
      </c>
      <c r="IV2" t="e">
        <f>AND('Weekly Data Sheets'!G19,"AAAAAEdu3f8=")</f>
        <v>#VALUE!</v>
      </c>
    </row>
    <row r="3" spans="1:256" ht="12.75">
      <c r="A3" t="e">
        <f>AND('Weekly Data Sheets'!H19,"AAAAAH1VzwA=")</f>
        <v>#VALUE!</v>
      </c>
      <c r="B3" t="e">
        <f>AND('Weekly Data Sheets'!I19,"AAAAAH1VzwE=")</f>
        <v>#VALUE!</v>
      </c>
      <c r="C3" t="e">
        <f>AND('Weekly Data Sheets'!J19,"AAAAAH1VzwI=")</f>
        <v>#VALUE!</v>
      </c>
      <c r="D3" t="e">
        <f>AND('Weekly Data Sheets'!K19,"AAAAAH1VzwM=")</f>
        <v>#VALUE!</v>
      </c>
      <c r="E3" t="e">
        <f>AND('Weekly Data Sheets'!L19,"AAAAAH1VzwQ=")</f>
        <v>#VALUE!</v>
      </c>
      <c r="F3" t="e">
        <f>AND('Weekly Data Sheets'!M19,"AAAAAH1VzwU=")</f>
        <v>#VALUE!</v>
      </c>
      <c r="G3" t="e">
        <f>AND('Weekly Data Sheets'!N19,"AAAAAH1VzwY=")</f>
        <v>#VALUE!</v>
      </c>
      <c r="H3" t="e">
        <f>AND('Weekly Data Sheets'!O19,"AAAAAH1Vzwc=")</f>
        <v>#VALUE!</v>
      </c>
      <c r="I3" t="e">
        <f>AND('Weekly Data Sheets'!P19,"AAAAAH1Vzwg=")</f>
        <v>#VALUE!</v>
      </c>
      <c r="J3" t="e">
        <f>AND('Weekly Data Sheets'!Q19,"AAAAAH1Vzwk=")</f>
        <v>#VALUE!</v>
      </c>
      <c r="K3" t="e">
        <f>AND('Weekly Data Sheets'!R19,"AAAAAH1Vzwo=")</f>
        <v>#VALUE!</v>
      </c>
      <c r="L3" t="e">
        <f>AND('Weekly Data Sheets'!S19,"AAAAAH1Vzws=")</f>
        <v>#VALUE!</v>
      </c>
      <c r="M3" t="e">
        <f>AND('Weekly Data Sheets'!T19,"AAAAAH1Vzww=")</f>
        <v>#VALUE!</v>
      </c>
      <c r="N3" t="e">
        <f>AND('Weekly Data Sheets'!U19,"AAAAAH1Vzw0=")</f>
        <v>#VALUE!</v>
      </c>
      <c r="O3" t="e">
        <f>AND('Weekly Data Sheets'!V19,"AAAAAH1Vzw4=")</f>
        <v>#VALUE!</v>
      </c>
      <c r="P3" t="e">
        <f>AND('Weekly Data Sheets'!W19,"AAAAAH1Vzw8=")</f>
        <v>#VALUE!</v>
      </c>
      <c r="Q3" t="e">
        <f>AND('Weekly Data Sheets'!X19,"AAAAAH1VzxA=")</f>
        <v>#VALUE!</v>
      </c>
      <c r="R3" t="e">
        <f>AND('Weekly Data Sheets'!Y19,"AAAAAH1VzxE=")</f>
        <v>#VALUE!</v>
      </c>
      <c r="S3" t="e">
        <f>AND('Weekly Data Sheets'!Z19,"AAAAAH1VzxI=")</f>
        <v>#VALUE!</v>
      </c>
      <c r="T3" t="e">
        <f>AND('Weekly Data Sheets'!AA19,"AAAAAH1VzxM=")</f>
        <v>#VALUE!</v>
      </c>
      <c r="U3">
        <f>IF('Weekly Data Sheets'!20:20,"AAAAAH1VzxQ=",0)</f>
        <v>0</v>
      </c>
      <c r="V3" t="e">
        <f>AND('Weekly Data Sheets'!A20,"AAAAAH1VzxU=")</f>
        <v>#VALUE!</v>
      </c>
      <c r="W3" t="e">
        <f>AND('Weekly Data Sheets'!B20,"AAAAAH1VzxY=")</f>
        <v>#VALUE!</v>
      </c>
      <c r="X3" t="e">
        <f>AND('Weekly Data Sheets'!C20,"AAAAAH1Vzxc=")</f>
        <v>#VALUE!</v>
      </c>
      <c r="Y3" t="e">
        <f>AND('Weekly Data Sheets'!D20,"AAAAAH1Vzxg=")</f>
        <v>#VALUE!</v>
      </c>
      <c r="Z3" t="e">
        <f>AND('Weekly Data Sheets'!E20,"AAAAAH1Vzxk=")</f>
        <v>#VALUE!</v>
      </c>
      <c r="AA3" t="e">
        <f>AND('Weekly Data Sheets'!F20,"AAAAAH1Vzxo=")</f>
        <v>#VALUE!</v>
      </c>
      <c r="AB3" t="e">
        <f>AND('Weekly Data Sheets'!G20,"AAAAAH1Vzxs=")</f>
        <v>#VALUE!</v>
      </c>
      <c r="AC3" t="e">
        <f>AND('Weekly Data Sheets'!H20,"AAAAAH1Vzxw=")</f>
        <v>#VALUE!</v>
      </c>
      <c r="AD3" t="e">
        <f>AND('Weekly Data Sheets'!I20,"AAAAAH1Vzx0=")</f>
        <v>#VALUE!</v>
      </c>
      <c r="AE3" t="e">
        <f>AND('Weekly Data Sheets'!J20,"AAAAAH1Vzx4=")</f>
        <v>#VALUE!</v>
      </c>
      <c r="AF3" t="e">
        <f>AND('Weekly Data Sheets'!K20,"AAAAAH1Vzx8=")</f>
        <v>#VALUE!</v>
      </c>
      <c r="AG3" t="e">
        <f>AND('Weekly Data Sheets'!L20,"AAAAAH1VzyA=")</f>
        <v>#VALUE!</v>
      </c>
      <c r="AH3" t="e">
        <f>AND('Weekly Data Sheets'!M20,"AAAAAH1VzyE=")</f>
        <v>#VALUE!</v>
      </c>
      <c r="AI3" t="e">
        <f>AND('Weekly Data Sheets'!N20,"AAAAAH1VzyI=")</f>
        <v>#VALUE!</v>
      </c>
      <c r="AJ3" t="e">
        <f>AND('Weekly Data Sheets'!O20,"AAAAAH1VzyM=")</f>
        <v>#VALUE!</v>
      </c>
      <c r="AK3" t="e">
        <f>AND('Weekly Data Sheets'!P20,"AAAAAH1VzyQ=")</f>
        <v>#VALUE!</v>
      </c>
      <c r="AL3" t="e">
        <f>AND('Weekly Data Sheets'!Q20,"AAAAAH1VzyU=")</f>
        <v>#VALUE!</v>
      </c>
      <c r="AM3" t="e">
        <f>AND('Weekly Data Sheets'!R20,"AAAAAH1VzyY=")</f>
        <v>#VALUE!</v>
      </c>
      <c r="AN3" t="e">
        <f>AND('Weekly Data Sheets'!S20,"AAAAAH1Vzyc=")</f>
        <v>#VALUE!</v>
      </c>
      <c r="AO3" t="e">
        <f>AND('Weekly Data Sheets'!T20,"AAAAAH1Vzyg=")</f>
        <v>#VALUE!</v>
      </c>
      <c r="AP3" t="e">
        <f>AND('Weekly Data Sheets'!U20,"AAAAAH1Vzyk=")</f>
        <v>#VALUE!</v>
      </c>
      <c r="AQ3" t="e">
        <f>AND('Weekly Data Sheets'!V20,"AAAAAH1Vzyo=")</f>
        <v>#VALUE!</v>
      </c>
      <c r="AR3" t="e">
        <f>AND('Weekly Data Sheets'!W20,"AAAAAH1Vzys=")</f>
        <v>#VALUE!</v>
      </c>
      <c r="AS3" t="e">
        <f>AND('Weekly Data Sheets'!X20,"AAAAAH1Vzyw=")</f>
        <v>#VALUE!</v>
      </c>
      <c r="AT3" t="e">
        <f>AND('Weekly Data Sheets'!Y20,"AAAAAH1Vzy0=")</f>
        <v>#VALUE!</v>
      </c>
      <c r="AU3" t="e">
        <f>AND('Weekly Data Sheets'!Z20,"AAAAAH1Vzy4=")</f>
        <v>#VALUE!</v>
      </c>
      <c r="AV3" t="e">
        <f>AND('Weekly Data Sheets'!AA20,"AAAAAH1Vzy8=")</f>
        <v>#VALUE!</v>
      </c>
      <c r="AW3">
        <f>IF('Weekly Data Sheets'!21:21,"AAAAAH1VzzA=",0)</f>
        <v>0</v>
      </c>
      <c r="AX3" t="e">
        <f>AND('Weekly Data Sheets'!A21,"AAAAAH1VzzE=")</f>
        <v>#VALUE!</v>
      </c>
      <c r="AY3" t="e">
        <f>AND('Weekly Data Sheets'!B21,"AAAAAH1VzzI=")</f>
        <v>#VALUE!</v>
      </c>
      <c r="AZ3" t="e">
        <f>AND('Weekly Data Sheets'!C21,"AAAAAH1VzzM=")</f>
        <v>#VALUE!</v>
      </c>
      <c r="BA3" t="e">
        <f>AND('Weekly Data Sheets'!D21,"AAAAAH1VzzQ=")</f>
        <v>#VALUE!</v>
      </c>
      <c r="BB3" t="e">
        <f>AND('Weekly Data Sheets'!E21,"AAAAAH1VzzU=")</f>
        <v>#VALUE!</v>
      </c>
      <c r="BC3" t="e">
        <f>AND('Weekly Data Sheets'!F21,"AAAAAH1VzzY=")</f>
        <v>#VALUE!</v>
      </c>
      <c r="BD3" t="e">
        <f>AND('Weekly Data Sheets'!G21,"AAAAAH1Vzzc=")</f>
        <v>#VALUE!</v>
      </c>
      <c r="BE3" t="e">
        <f>AND('Weekly Data Sheets'!H21,"AAAAAH1Vzzg=")</f>
        <v>#VALUE!</v>
      </c>
      <c r="BF3" t="e">
        <f>AND('Weekly Data Sheets'!I21,"AAAAAH1Vzzk=")</f>
        <v>#VALUE!</v>
      </c>
      <c r="BG3" t="e">
        <f>AND('Weekly Data Sheets'!J21,"AAAAAH1Vzzo=")</f>
        <v>#VALUE!</v>
      </c>
      <c r="BH3" t="e">
        <f>AND('Weekly Data Sheets'!K21,"AAAAAH1Vzzs=")</f>
        <v>#VALUE!</v>
      </c>
      <c r="BI3" t="e">
        <f>AND('Weekly Data Sheets'!L21,"AAAAAH1Vzzw=")</f>
        <v>#VALUE!</v>
      </c>
      <c r="BJ3" t="e">
        <f>AND('Weekly Data Sheets'!M21,"AAAAAH1Vzz0=")</f>
        <v>#VALUE!</v>
      </c>
      <c r="BK3" t="e">
        <f>AND('Weekly Data Sheets'!N21,"AAAAAH1Vzz4=")</f>
        <v>#VALUE!</v>
      </c>
      <c r="BL3" t="e">
        <f>AND('Weekly Data Sheets'!O21,"AAAAAH1Vzz8=")</f>
        <v>#VALUE!</v>
      </c>
      <c r="BM3" t="e">
        <f>AND('Weekly Data Sheets'!P21,"AAAAAH1Vz0A=")</f>
        <v>#VALUE!</v>
      </c>
      <c r="BN3" t="e">
        <f>AND('Weekly Data Sheets'!Q21,"AAAAAH1Vz0E=")</f>
        <v>#VALUE!</v>
      </c>
      <c r="BO3" t="e">
        <f>AND('Weekly Data Sheets'!R21,"AAAAAH1Vz0I=")</f>
        <v>#VALUE!</v>
      </c>
      <c r="BP3" t="e">
        <f>AND('Weekly Data Sheets'!S21,"AAAAAH1Vz0M=")</f>
        <v>#VALUE!</v>
      </c>
      <c r="BQ3" t="e">
        <f>AND('Weekly Data Sheets'!T21,"AAAAAH1Vz0Q=")</f>
        <v>#VALUE!</v>
      </c>
      <c r="BR3" t="e">
        <f>AND('Weekly Data Sheets'!U21,"AAAAAH1Vz0U=")</f>
        <v>#VALUE!</v>
      </c>
      <c r="BS3" t="e">
        <f>AND('Weekly Data Sheets'!V21,"AAAAAH1Vz0Y=")</f>
        <v>#VALUE!</v>
      </c>
      <c r="BT3" t="e">
        <f>AND('Weekly Data Sheets'!W21,"AAAAAH1Vz0c=")</f>
        <v>#VALUE!</v>
      </c>
      <c r="BU3" t="e">
        <f>AND('Weekly Data Sheets'!X21,"AAAAAH1Vz0g=")</f>
        <v>#VALUE!</v>
      </c>
      <c r="BV3" t="e">
        <f>AND('Weekly Data Sheets'!Y21,"AAAAAH1Vz0k=")</f>
        <v>#VALUE!</v>
      </c>
      <c r="BW3" t="e">
        <f>AND('Weekly Data Sheets'!Z21,"AAAAAH1Vz0o=")</f>
        <v>#VALUE!</v>
      </c>
      <c r="BX3" t="e">
        <f>AND('Weekly Data Sheets'!AA21,"AAAAAH1Vz0s=")</f>
        <v>#VALUE!</v>
      </c>
      <c r="BY3">
        <f>IF('Weekly Data Sheets'!22:22,"AAAAAH1Vz0w=",0)</f>
        <v>0</v>
      </c>
      <c r="BZ3" t="e">
        <f>AND('Weekly Data Sheets'!A22,"AAAAAH1Vz00=")</f>
        <v>#VALUE!</v>
      </c>
      <c r="CA3" t="e">
        <f>AND('Weekly Data Sheets'!B22,"AAAAAH1Vz04=")</f>
        <v>#VALUE!</v>
      </c>
      <c r="CB3" t="e">
        <f>AND('Weekly Data Sheets'!C22,"AAAAAH1Vz08=")</f>
        <v>#VALUE!</v>
      </c>
      <c r="CC3" t="e">
        <f>AND('Weekly Data Sheets'!D22,"AAAAAH1Vz1A=")</f>
        <v>#VALUE!</v>
      </c>
      <c r="CD3" t="e">
        <f>AND('Weekly Data Sheets'!E22,"AAAAAH1Vz1E=")</f>
        <v>#VALUE!</v>
      </c>
      <c r="CE3" t="e">
        <f>AND('Weekly Data Sheets'!F22,"AAAAAH1Vz1I=")</f>
        <v>#VALUE!</v>
      </c>
      <c r="CF3" t="e">
        <f>AND('Weekly Data Sheets'!G22,"AAAAAH1Vz1M=")</f>
        <v>#VALUE!</v>
      </c>
      <c r="CG3" t="e">
        <f>AND('Weekly Data Sheets'!H22,"AAAAAH1Vz1Q=")</f>
        <v>#VALUE!</v>
      </c>
      <c r="CH3" t="e">
        <f>AND('Weekly Data Sheets'!I22,"AAAAAH1Vz1U=")</f>
        <v>#VALUE!</v>
      </c>
      <c r="CI3" t="e">
        <f>AND('Weekly Data Sheets'!J22,"AAAAAH1Vz1Y=")</f>
        <v>#VALUE!</v>
      </c>
      <c r="CJ3" t="e">
        <f>AND('Weekly Data Sheets'!K22,"AAAAAH1Vz1c=")</f>
        <v>#VALUE!</v>
      </c>
      <c r="CK3" t="e">
        <f>AND('Weekly Data Sheets'!L22,"AAAAAH1Vz1g=")</f>
        <v>#VALUE!</v>
      </c>
      <c r="CL3" t="e">
        <f>AND('Weekly Data Sheets'!M22,"AAAAAH1Vz1k=")</f>
        <v>#VALUE!</v>
      </c>
      <c r="CM3" t="e">
        <f>AND('Weekly Data Sheets'!N22,"AAAAAH1Vz1o=")</f>
        <v>#VALUE!</v>
      </c>
      <c r="CN3" t="e">
        <f>AND('Weekly Data Sheets'!O22,"AAAAAH1Vz1s=")</f>
        <v>#VALUE!</v>
      </c>
      <c r="CO3" t="e">
        <f>AND('Weekly Data Sheets'!P22,"AAAAAH1Vz1w=")</f>
        <v>#VALUE!</v>
      </c>
      <c r="CP3" t="e">
        <f>AND('Weekly Data Sheets'!Q22,"AAAAAH1Vz10=")</f>
        <v>#VALUE!</v>
      </c>
      <c r="CQ3" t="e">
        <f>AND('Weekly Data Sheets'!R22,"AAAAAH1Vz14=")</f>
        <v>#VALUE!</v>
      </c>
      <c r="CR3" t="e">
        <f>AND('Weekly Data Sheets'!S22,"AAAAAH1Vz18=")</f>
        <v>#VALUE!</v>
      </c>
      <c r="CS3" t="e">
        <f>AND('Weekly Data Sheets'!T22,"AAAAAH1Vz2A=")</f>
        <v>#VALUE!</v>
      </c>
      <c r="CT3" t="e">
        <f>AND('Weekly Data Sheets'!U22,"AAAAAH1Vz2E=")</f>
        <v>#VALUE!</v>
      </c>
      <c r="CU3" t="e">
        <f>AND('Weekly Data Sheets'!V22,"AAAAAH1Vz2I=")</f>
        <v>#VALUE!</v>
      </c>
      <c r="CV3" t="e">
        <f>AND('Weekly Data Sheets'!W22,"AAAAAH1Vz2M=")</f>
        <v>#VALUE!</v>
      </c>
      <c r="CW3" t="e">
        <f>AND('Weekly Data Sheets'!X22,"AAAAAH1Vz2Q=")</f>
        <v>#VALUE!</v>
      </c>
      <c r="CX3" t="e">
        <f>AND('Weekly Data Sheets'!Y22,"AAAAAH1Vz2U=")</f>
        <v>#VALUE!</v>
      </c>
      <c r="CY3" t="e">
        <f>AND('Weekly Data Sheets'!Z22,"AAAAAH1Vz2Y=")</f>
        <v>#VALUE!</v>
      </c>
      <c r="CZ3" t="e">
        <f>AND('Weekly Data Sheets'!AA22,"AAAAAH1Vz2c=")</f>
        <v>#VALUE!</v>
      </c>
      <c r="DA3">
        <f>IF('Weekly Data Sheets'!23:23,"AAAAAH1Vz2g=",0)</f>
        <v>0</v>
      </c>
      <c r="DB3" t="e">
        <f>AND('Weekly Data Sheets'!A23,"AAAAAH1Vz2k=")</f>
        <v>#VALUE!</v>
      </c>
      <c r="DC3" t="e">
        <f>AND('Weekly Data Sheets'!B23,"AAAAAH1Vz2o=")</f>
        <v>#VALUE!</v>
      </c>
      <c r="DD3" t="e">
        <f>AND('Weekly Data Sheets'!C23,"AAAAAH1Vz2s=")</f>
        <v>#VALUE!</v>
      </c>
      <c r="DE3" t="e">
        <f>AND('Weekly Data Sheets'!D23,"AAAAAH1Vz2w=")</f>
        <v>#VALUE!</v>
      </c>
      <c r="DF3" t="e">
        <f>AND('Weekly Data Sheets'!E23,"AAAAAH1Vz20=")</f>
        <v>#VALUE!</v>
      </c>
      <c r="DG3" t="e">
        <f>AND('Weekly Data Sheets'!F23,"AAAAAH1Vz24=")</f>
        <v>#VALUE!</v>
      </c>
      <c r="DH3" t="e">
        <f>AND('Weekly Data Sheets'!G23,"AAAAAH1Vz28=")</f>
        <v>#VALUE!</v>
      </c>
      <c r="DI3" t="e">
        <f>AND('Weekly Data Sheets'!H23,"AAAAAH1Vz3A=")</f>
        <v>#VALUE!</v>
      </c>
      <c r="DJ3" t="e">
        <f>AND('Weekly Data Sheets'!I23,"AAAAAH1Vz3E=")</f>
        <v>#VALUE!</v>
      </c>
      <c r="DK3" t="e">
        <f>AND('Weekly Data Sheets'!J23,"AAAAAH1Vz3I=")</f>
        <v>#VALUE!</v>
      </c>
      <c r="DL3" t="e">
        <f>AND('Weekly Data Sheets'!K23,"AAAAAH1Vz3M=")</f>
        <v>#VALUE!</v>
      </c>
      <c r="DM3" t="e">
        <f>AND('Weekly Data Sheets'!L23,"AAAAAH1Vz3Q=")</f>
        <v>#VALUE!</v>
      </c>
      <c r="DN3" t="e">
        <f>AND('Weekly Data Sheets'!M23,"AAAAAH1Vz3U=")</f>
        <v>#VALUE!</v>
      </c>
      <c r="DO3" t="e">
        <f>AND('Weekly Data Sheets'!N23,"AAAAAH1Vz3Y=")</f>
        <v>#VALUE!</v>
      </c>
      <c r="DP3" t="e">
        <f>AND('Weekly Data Sheets'!O23,"AAAAAH1Vz3c=")</f>
        <v>#VALUE!</v>
      </c>
      <c r="DQ3" t="e">
        <f>AND('Weekly Data Sheets'!P23,"AAAAAH1Vz3g=")</f>
        <v>#VALUE!</v>
      </c>
      <c r="DR3" t="e">
        <f>AND('Weekly Data Sheets'!Q23,"AAAAAH1Vz3k=")</f>
        <v>#VALUE!</v>
      </c>
      <c r="DS3" t="e">
        <f>AND('Weekly Data Sheets'!R23,"AAAAAH1Vz3o=")</f>
        <v>#VALUE!</v>
      </c>
      <c r="DT3" t="e">
        <f>AND('Weekly Data Sheets'!S23,"AAAAAH1Vz3s=")</f>
        <v>#VALUE!</v>
      </c>
      <c r="DU3" t="e">
        <f>AND('Weekly Data Sheets'!T23,"AAAAAH1Vz3w=")</f>
        <v>#VALUE!</v>
      </c>
      <c r="DV3" t="e">
        <f>AND('Weekly Data Sheets'!U23,"AAAAAH1Vz30=")</f>
        <v>#VALUE!</v>
      </c>
      <c r="DW3" t="e">
        <f>AND('Weekly Data Sheets'!V23,"AAAAAH1Vz34=")</f>
        <v>#VALUE!</v>
      </c>
      <c r="DX3" t="e">
        <f>AND('Weekly Data Sheets'!W23,"AAAAAH1Vz38=")</f>
        <v>#VALUE!</v>
      </c>
      <c r="DY3" t="e">
        <f>AND('Weekly Data Sheets'!X23,"AAAAAH1Vz4A=")</f>
        <v>#VALUE!</v>
      </c>
      <c r="DZ3" t="e">
        <f>AND('Weekly Data Sheets'!Y23,"AAAAAH1Vz4E=")</f>
        <v>#VALUE!</v>
      </c>
      <c r="EA3" t="e">
        <f>AND('Weekly Data Sheets'!Z23,"AAAAAH1Vz4I=")</f>
        <v>#VALUE!</v>
      </c>
      <c r="EB3" t="e">
        <f>AND('Weekly Data Sheets'!AA23,"AAAAAH1Vz4M=")</f>
        <v>#VALUE!</v>
      </c>
      <c r="EC3">
        <f>IF('Weekly Data Sheets'!24:24,"AAAAAH1Vz4Q=",0)</f>
        <v>0</v>
      </c>
      <c r="ED3" t="e">
        <f>AND('Weekly Data Sheets'!A24,"AAAAAH1Vz4U=")</f>
        <v>#VALUE!</v>
      </c>
      <c r="EE3" t="e">
        <f>AND('Weekly Data Sheets'!B24,"AAAAAH1Vz4Y=")</f>
        <v>#VALUE!</v>
      </c>
      <c r="EF3" t="e">
        <f>AND('Weekly Data Sheets'!C24,"AAAAAH1Vz4c=")</f>
        <v>#VALUE!</v>
      </c>
      <c r="EG3" t="e">
        <f>AND('Weekly Data Sheets'!D24,"AAAAAH1Vz4g=")</f>
        <v>#VALUE!</v>
      </c>
      <c r="EH3" t="e">
        <f>AND('Weekly Data Sheets'!E24,"AAAAAH1Vz4k=")</f>
        <v>#VALUE!</v>
      </c>
      <c r="EI3" t="e">
        <f>AND('Weekly Data Sheets'!F24,"AAAAAH1Vz4o=")</f>
        <v>#VALUE!</v>
      </c>
      <c r="EJ3" t="e">
        <f>AND('Weekly Data Sheets'!G24,"AAAAAH1Vz4s=")</f>
        <v>#VALUE!</v>
      </c>
      <c r="EK3" t="e">
        <f>AND('Weekly Data Sheets'!H24,"AAAAAH1Vz4w=")</f>
        <v>#VALUE!</v>
      </c>
      <c r="EL3" t="e">
        <f>AND('Weekly Data Sheets'!I24,"AAAAAH1Vz40=")</f>
        <v>#VALUE!</v>
      </c>
      <c r="EM3" t="e">
        <f>AND('Weekly Data Sheets'!J24,"AAAAAH1Vz44=")</f>
        <v>#VALUE!</v>
      </c>
      <c r="EN3" t="e">
        <f>AND('Weekly Data Sheets'!K24,"AAAAAH1Vz48=")</f>
        <v>#VALUE!</v>
      </c>
      <c r="EO3" t="e">
        <f>AND('Weekly Data Sheets'!L24,"AAAAAH1Vz5A=")</f>
        <v>#VALUE!</v>
      </c>
      <c r="EP3" t="e">
        <f>AND('Weekly Data Sheets'!M24,"AAAAAH1Vz5E=")</f>
        <v>#VALUE!</v>
      </c>
      <c r="EQ3" t="e">
        <f>AND('Weekly Data Sheets'!N24,"AAAAAH1Vz5I=")</f>
        <v>#VALUE!</v>
      </c>
      <c r="ER3" t="e">
        <f>AND('Weekly Data Sheets'!O24,"AAAAAH1Vz5M=")</f>
        <v>#VALUE!</v>
      </c>
      <c r="ES3" t="e">
        <f>AND('Weekly Data Sheets'!P24,"AAAAAH1Vz5Q=")</f>
        <v>#VALUE!</v>
      </c>
      <c r="ET3" t="e">
        <f>AND('Weekly Data Sheets'!Q24,"AAAAAH1Vz5U=")</f>
        <v>#VALUE!</v>
      </c>
      <c r="EU3" t="e">
        <f>AND('Weekly Data Sheets'!R24,"AAAAAH1Vz5Y=")</f>
        <v>#VALUE!</v>
      </c>
      <c r="EV3" t="e">
        <f>AND('Weekly Data Sheets'!S24,"AAAAAH1Vz5c=")</f>
        <v>#VALUE!</v>
      </c>
      <c r="EW3" t="e">
        <f>AND('Weekly Data Sheets'!T24,"AAAAAH1Vz5g=")</f>
        <v>#VALUE!</v>
      </c>
      <c r="EX3" t="e">
        <f>AND('Weekly Data Sheets'!U24,"AAAAAH1Vz5k=")</f>
        <v>#VALUE!</v>
      </c>
      <c r="EY3" t="e">
        <f>AND('Weekly Data Sheets'!V24,"AAAAAH1Vz5o=")</f>
        <v>#VALUE!</v>
      </c>
      <c r="EZ3" t="e">
        <f>AND('Weekly Data Sheets'!W24,"AAAAAH1Vz5s=")</f>
        <v>#VALUE!</v>
      </c>
      <c r="FA3" t="e">
        <f>AND('Weekly Data Sheets'!X24,"AAAAAH1Vz5w=")</f>
        <v>#VALUE!</v>
      </c>
      <c r="FB3" t="e">
        <f>AND('Weekly Data Sheets'!Y24,"AAAAAH1Vz50=")</f>
        <v>#VALUE!</v>
      </c>
      <c r="FC3" t="e">
        <f>AND('Weekly Data Sheets'!Z24,"AAAAAH1Vz54=")</f>
        <v>#VALUE!</v>
      </c>
      <c r="FD3" t="e">
        <f>AND('Weekly Data Sheets'!AA24,"AAAAAH1Vz58=")</f>
        <v>#VALUE!</v>
      </c>
      <c r="FE3">
        <f>IF('Weekly Data Sheets'!25:25,"AAAAAH1Vz6A=",0)</f>
        <v>0</v>
      </c>
      <c r="FF3" t="e">
        <f>AND('Weekly Data Sheets'!A25,"AAAAAH1Vz6E=")</f>
        <v>#VALUE!</v>
      </c>
      <c r="FG3" t="e">
        <f>AND('Weekly Data Sheets'!B25,"AAAAAH1Vz6I=")</f>
        <v>#VALUE!</v>
      </c>
      <c r="FH3" t="e">
        <f>AND('Weekly Data Sheets'!C25,"AAAAAH1Vz6M=")</f>
        <v>#VALUE!</v>
      </c>
      <c r="FI3" t="e">
        <f>AND('Weekly Data Sheets'!D25,"AAAAAH1Vz6Q=")</f>
        <v>#VALUE!</v>
      </c>
      <c r="FJ3" t="e">
        <f>AND('Weekly Data Sheets'!E25,"AAAAAH1Vz6U=")</f>
        <v>#VALUE!</v>
      </c>
      <c r="FK3" t="e">
        <f>AND('Weekly Data Sheets'!F25,"AAAAAH1Vz6Y=")</f>
        <v>#VALUE!</v>
      </c>
      <c r="FL3" t="e">
        <f>AND('Weekly Data Sheets'!G25,"AAAAAH1Vz6c=")</f>
        <v>#VALUE!</v>
      </c>
      <c r="FM3" t="e">
        <f>AND('Weekly Data Sheets'!H25,"AAAAAH1Vz6g=")</f>
        <v>#VALUE!</v>
      </c>
      <c r="FN3" t="e">
        <f>AND('Weekly Data Sheets'!I25,"AAAAAH1Vz6k=")</f>
        <v>#VALUE!</v>
      </c>
      <c r="FO3" t="e">
        <f>AND('Weekly Data Sheets'!J25,"AAAAAH1Vz6o=")</f>
        <v>#VALUE!</v>
      </c>
      <c r="FP3" t="e">
        <f>AND('Weekly Data Sheets'!K25,"AAAAAH1Vz6s=")</f>
        <v>#VALUE!</v>
      </c>
      <c r="FQ3" t="e">
        <f>AND('Weekly Data Sheets'!L25,"AAAAAH1Vz6w=")</f>
        <v>#VALUE!</v>
      </c>
      <c r="FR3" t="e">
        <f>AND('Weekly Data Sheets'!M25,"AAAAAH1Vz60=")</f>
        <v>#VALUE!</v>
      </c>
      <c r="FS3" t="e">
        <f>AND('Weekly Data Sheets'!N25,"AAAAAH1Vz64=")</f>
        <v>#VALUE!</v>
      </c>
      <c r="FT3" t="e">
        <f>AND('Weekly Data Sheets'!O25,"AAAAAH1Vz68=")</f>
        <v>#VALUE!</v>
      </c>
      <c r="FU3" t="e">
        <f>AND('Weekly Data Sheets'!P25,"AAAAAH1Vz7A=")</f>
        <v>#VALUE!</v>
      </c>
      <c r="FV3" t="e">
        <f>AND('Weekly Data Sheets'!Q25,"AAAAAH1Vz7E=")</f>
        <v>#VALUE!</v>
      </c>
      <c r="FW3" t="e">
        <f>AND('Weekly Data Sheets'!R25,"AAAAAH1Vz7I=")</f>
        <v>#VALUE!</v>
      </c>
      <c r="FX3" t="e">
        <f>AND('Weekly Data Sheets'!S25,"AAAAAH1Vz7M=")</f>
        <v>#VALUE!</v>
      </c>
      <c r="FY3" t="e">
        <f>AND('Weekly Data Sheets'!T25,"AAAAAH1Vz7Q=")</f>
        <v>#VALUE!</v>
      </c>
      <c r="FZ3" t="e">
        <f>AND('Weekly Data Sheets'!U25,"AAAAAH1Vz7U=")</f>
        <v>#VALUE!</v>
      </c>
      <c r="GA3" t="e">
        <f>AND('Weekly Data Sheets'!V25,"AAAAAH1Vz7Y=")</f>
        <v>#VALUE!</v>
      </c>
      <c r="GB3" t="e">
        <f>AND('Weekly Data Sheets'!W25,"AAAAAH1Vz7c=")</f>
        <v>#VALUE!</v>
      </c>
      <c r="GC3" t="e">
        <f>AND('Weekly Data Sheets'!X25,"AAAAAH1Vz7g=")</f>
        <v>#VALUE!</v>
      </c>
      <c r="GD3" t="e">
        <f>AND('Weekly Data Sheets'!Y25,"AAAAAH1Vz7k=")</f>
        <v>#VALUE!</v>
      </c>
      <c r="GE3" t="e">
        <f>AND('Weekly Data Sheets'!Z25,"AAAAAH1Vz7o=")</f>
        <v>#VALUE!</v>
      </c>
      <c r="GF3" t="e">
        <f>AND('Weekly Data Sheets'!AA25,"AAAAAH1Vz7s=")</f>
        <v>#VALUE!</v>
      </c>
      <c r="GG3">
        <f>IF('Weekly Data Sheets'!26:26,"AAAAAH1Vz7w=",0)</f>
        <v>0</v>
      </c>
      <c r="GH3" t="e">
        <f>AND('Weekly Data Sheets'!A26,"AAAAAH1Vz70=")</f>
        <v>#VALUE!</v>
      </c>
      <c r="GI3" t="e">
        <f>AND('Weekly Data Sheets'!B26,"AAAAAH1Vz74=")</f>
        <v>#VALUE!</v>
      </c>
      <c r="GJ3" t="e">
        <f>AND('Weekly Data Sheets'!C26,"AAAAAH1Vz78=")</f>
        <v>#VALUE!</v>
      </c>
      <c r="GK3" t="e">
        <f>AND('Weekly Data Sheets'!D26,"AAAAAH1Vz8A=")</f>
        <v>#VALUE!</v>
      </c>
      <c r="GL3" t="e">
        <f>AND('Weekly Data Sheets'!E26,"AAAAAH1Vz8E=")</f>
        <v>#VALUE!</v>
      </c>
      <c r="GM3" t="e">
        <f>AND('Weekly Data Sheets'!F26,"AAAAAH1Vz8I=")</f>
        <v>#VALUE!</v>
      </c>
      <c r="GN3" t="e">
        <f>AND('Weekly Data Sheets'!G26,"AAAAAH1Vz8M=")</f>
        <v>#VALUE!</v>
      </c>
      <c r="GO3" t="e">
        <f>AND('Weekly Data Sheets'!H26,"AAAAAH1Vz8Q=")</f>
        <v>#VALUE!</v>
      </c>
      <c r="GP3" t="e">
        <f>AND('Weekly Data Sheets'!I26,"AAAAAH1Vz8U=")</f>
        <v>#VALUE!</v>
      </c>
      <c r="GQ3" t="e">
        <f>AND('Weekly Data Sheets'!J26,"AAAAAH1Vz8Y=")</f>
        <v>#VALUE!</v>
      </c>
      <c r="GR3" t="e">
        <f>AND('Weekly Data Sheets'!K26,"AAAAAH1Vz8c=")</f>
        <v>#VALUE!</v>
      </c>
      <c r="GS3" t="e">
        <f>AND('Weekly Data Sheets'!L26,"AAAAAH1Vz8g=")</f>
        <v>#VALUE!</v>
      </c>
      <c r="GT3" t="e">
        <f>AND('Weekly Data Sheets'!M26,"AAAAAH1Vz8k=")</f>
        <v>#VALUE!</v>
      </c>
      <c r="GU3" t="e">
        <f>AND('Weekly Data Sheets'!N26,"AAAAAH1Vz8o=")</f>
        <v>#VALUE!</v>
      </c>
      <c r="GV3" t="e">
        <f>AND('Weekly Data Sheets'!O26,"AAAAAH1Vz8s=")</f>
        <v>#VALUE!</v>
      </c>
      <c r="GW3" t="e">
        <f>AND('Weekly Data Sheets'!P26,"AAAAAH1Vz8w=")</f>
        <v>#VALUE!</v>
      </c>
      <c r="GX3" t="e">
        <f>AND('Weekly Data Sheets'!Q26,"AAAAAH1Vz80=")</f>
        <v>#VALUE!</v>
      </c>
      <c r="GY3" t="e">
        <f>AND('Weekly Data Sheets'!R26,"AAAAAH1Vz84=")</f>
        <v>#VALUE!</v>
      </c>
      <c r="GZ3" t="e">
        <f>AND('Weekly Data Sheets'!S26,"AAAAAH1Vz88=")</f>
        <v>#VALUE!</v>
      </c>
      <c r="HA3" t="e">
        <f>AND('Weekly Data Sheets'!T26,"AAAAAH1Vz9A=")</f>
        <v>#VALUE!</v>
      </c>
      <c r="HB3" t="e">
        <f>AND('Weekly Data Sheets'!U26,"AAAAAH1Vz9E=")</f>
        <v>#VALUE!</v>
      </c>
      <c r="HC3" t="e">
        <f>AND('Weekly Data Sheets'!V26,"AAAAAH1Vz9I=")</f>
        <v>#VALUE!</v>
      </c>
      <c r="HD3" t="e">
        <f>AND('Weekly Data Sheets'!W26,"AAAAAH1Vz9M=")</f>
        <v>#VALUE!</v>
      </c>
      <c r="HE3" t="e">
        <f>AND('Weekly Data Sheets'!X26,"AAAAAH1Vz9Q=")</f>
        <v>#VALUE!</v>
      </c>
      <c r="HF3" t="e">
        <f>AND('Weekly Data Sheets'!Y26,"AAAAAH1Vz9U=")</f>
        <v>#VALUE!</v>
      </c>
      <c r="HG3" t="e">
        <f>AND('Weekly Data Sheets'!Z26,"AAAAAH1Vz9Y=")</f>
        <v>#VALUE!</v>
      </c>
      <c r="HH3" t="e">
        <f>AND('Weekly Data Sheets'!AA26,"AAAAAH1Vz9c=")</f>
        <v>#VALUE!</v>
      </c>
      <c r="HI3">
        <f>IF('Weekly Data Sheets'!27:27,"AAAAAH1Vz9g=",0)</f>
        <v>0</v>
      </c>
      <c r="HJ3" t="e">
        <f>AND('Weekly Data Sheets'!A27,"AAAAAH1Vz9k=")</f>
        <v>#VALUE!</v>
      </c>
      <c r="HK3" t="e">
        <f>AND('Weekly Data Sheets'!B27,"AAAAAH1Vz9o=")</f>
        <v>#VALUE!</v>
      </c>
      <c r="HL3" t="e">
        <f>AND('Weekly Data Sheets'!C27,"AAAAAH1Vz9s=")</f>
        <v>#VALUE!</v>
      </c>
      <c r="HM3" t="e">
        <f>AND('Weekly Data Sheets'!D27,"AAAAAH1Vz9w=")</f>
        <v>#VALUE!</v>
      </c>
      <c r="HN3" t="e">
        <f>AND('Weekly Data Sheets'!E27,"AAAAAH1Vz90=")</f>
        <v>#VALUE!</v>
      </c>
      <c r="HO3" t="e">
        <f>AND('Weekly Data Sheets'!F27,"AAAAAH1Vz94=")</f>
        <v>#VALUE!</v>
      </c>
      <c r="HP3" t="e">
        <f>AND('Weekly Data Sheets'!G27,"AAAAAH1Vz98=")</f>
        <v>#VALUE!</v>
      </c>
      <c r="HQ3" t="e">
        <f>AND('Weekly Data Sheets'!H27,"AAAAAH1Vz+A=")</f>
        <v>#VALUE!</v>
      </c>
      <c r="HR3" t="e">
        <f>AND('Weekly Data Sheets'!I27,"AAAAAH1Vz+E=")</f>
        <v>#VALUE!</v>
      </c>
      <c r="HS3" t="e">
        <f>AND('Weekly Data Sheets'!J27,"AAAAAH1Vz+I=")</f>
        <v>#VALUE!</v>
      </c>
      <c r="HT3" t="e">
        <f>AND('Weekly Data Sheets'!K27,"AAAAAH1Vz+M=")</f>
        <v>#VALUE!</v>
      </c>
      <c r="HU3" t="e">
        <f>AND('Weekly Data Sheets'!L27,"AAAAAH1Vz+Q=")</f>
        <v>#VALUE!</v>
      </c>
      <c r="HV3" t="e">
        <f>AND('Weekly Data Sheets'!M27,"AAAAAH1Vz+U=")</f>
        <v>#VALUE!</v>
      </c>
      <c r="HW3" t="e">
        <f>AND('Weekly Data Sheets'!N27,"AAAAAH1Vz+Y=")</f>
        <v>#VALUE!</v>
      </c>
      <c r="HX3" t="e">
        <f>AND('Weekly Data Sheets'!O27,"AAAAAH1Vz+c=")</f>
        <v>#VALUE!</v>
      </c>
      <c r="HY3" t="e">
        <f>AND('Weekly Data Sheets'!P27,"AAAAAH1Vz+g=")</f>
        <v>#VALUE!</v>
      </c>
      <c r="HZ3" t="e">
        <f>AND('Weekly Data Sheets'!Q27,"AAAAAH1Vz+k=")</f>
        <v>#VALUE!</v>
      </c>
      <c r="IA3" t="e">
        <f>AND('Weekly Data Sheets'!R27,"AAAAAH1Vz+o=")</f>
        <v>#VALUE!</v>
      </c>
      <c r="IB3" t="e">
        <f>AND('Weekly Data Sheets'!S27,"AAAAAH1Vz+s=")</f>
        <v>#VALUE!</v>
      </c>
      <c r="IC3" t="e">
        <f>AND('Weekly Data Sheets'!T27,"AAAAAH1Vz+w=")</f>
        <v>#VALUE!</v>
      </c>
      <c r="ID3" t="e">
        <f>AND('Weekly Data Sheets'!U27,"AAAAAH1Vz+0=")</f>
        <v>#VALUE!</v>
      </c>
      <c r="IE3" t="e">
        <f>AND('Weekly Data Sheets'!V27,"AAAAAH1Vz+4=")</f>
        <v>#VALUE!</v>
      </c>
      <c r="IF3" t="e">
        <f>AND('Weekly Data Sheets'!W27,"AAAAAH1Vz+8=")</f>
        <v>#VALUE!</v>
      </c>
      <c r="IG3" t="e">
        <f>AND('Weekly Data Sheets'!X27,"AAAAAH1Vz/A=")</f>
        <v>#VALUE!</v>
      </c>
      <c r="IH3" t="e">
        <f>AND('Weekly Data Sheets'!Y27,"AAAAAH1Vz/E=")</f>
        <v>#VALUE!</v>
      </c>
      <c r="II3" t="e">
        <f>AND('Weekly Data Sheets'!Z27,"AAAAAH1Vz/I=")</f>
        <v>#VALUE!</v>
      </c>
      <c r="IJ3" t="e">
        <f>AND('Weekly Data Sheets'!AA27,"AAAAAH1Vz/M=")</f>
        <v>#VALUE!</v>
      </c>
      <c r="IK3">
        <f>IF('Weekly Data Sheets'!28:28,"AAAAAH1Vz/Q=",0)</f>
        <v>0</v>
      </c>
      <c r="IL3" t="e">
        <f>AND('Weekly Data Sheets'!A28,"AAAAAH1Vz/U=")</f>
        <v>#VALUE!</v>
      </c>
      <c r="IM3" t="e">
        <f>AND('Weekly Data Sheets'!B28,"AAAAAH1Vz/Y=")</f>
        <v>#VALUE!</v>
      </c>
      <c r="IN3" t="e">
        <f>AND('Weekly Data Sheets'!C28,"AAAAAH1Vz/c=")</f>
        <v>#VALUE!</v>
      </c>
      <c r="IO3" t="e">
        <f>AND('Weekly Data Sheets'!D28,"AAAAAH1Vz/g=")</f>
        <v>#VALUE!</v>
      </c>
      <c r="IP3" t="e">
        <f>AND('Weekly Data Sheets'!E28,"AAAAAH1Vz/k=")</f>
        <v>#VALUE!</v>
      </c>
      <c r="IQ3" t="e">
        <f>AND('Weekly Data Sheets'!F28,"AAAAAH1Vz/o=")</f>
        <v>#VALUE!</v>
      </c>
      <c r="IR3" t="e">
        <f>AND('Weekly Data Sheets'!G28,"AAAAAH1Vz/s=")</f>
        <v>#VALUE!</v>
      </c>
      <c r="IS3" t="e">
        <f>AND('Weekly Data Sheets'!H28,"AAAAAH1Vz/w=")</f>
        <v>#VALUE!</v>
      </c>
      <c r="IT3" t="e">
        <f>AND('Weekly Data Sheets'!I28,"AAAAAH1Vz/0=")</f>
        <v>#VALUE!</v>
      </c>
      <c r="IU3" t="e">
        <f>AND('Weekly Data Sheets'!J28,"AAAAAH1Vz/4=")</f>
        <v>#VALUE!</v>
      </c>
      <c r="IV3" t="e">
        <f>AND('Weekly Data Sheets'!K28,"AAAAAH1Vz/8=")</f>
        <v>#VALUE!</v>
      </c>
    </row>
    <row r="4" spans="1:256" ht="12.75">
      <c r="A4" t="e">
        <f>AND('Weekly Data Sheets'!L28,"AAAAAHl3eAA=")</f>
        <v>#VALUE!</v>
      </c>
      <c r="B4" t="e">
        <f>AND('Weekly Data Sheets'!M28,"AAAAAHl3eAE=")</f>
        <v>#VALUE!</v>
      </c>
      <c r="C4" t="e">
        <f>AND('Weekly Data Sheets'!N28,"AAAAAHl3eAI=")</f>
        <v>#VALUE!</v>
      </c>
      <c r="D4" t="e">
        <f>AND('Weekly Data Sheets'!O28,"AAAAAHl3eAM=")</f>
        <v>#VALUE!</v>
      </c>
      <c r="E4" t="e">
        <f>AND('Weekly Data Sheets'!P28,"AAAAAHl3eAQ=")</f>
        <v>#VALUE!</v>
      </c>
      <c r="F4" t="e">
        <f>AND('Weekly Data Sheets'!Q28,"AAAAAHl3eAU=")</f>
        <v>#VALUE!</v>
      </c>
      <c r="G4" t="e">
        <f>AND('Weekly Data Sheets'!R28,"AAAAAHl3eAY=")</f>
        <v>#VALUE!</v>
      </c>
      <c r="H4" t="e">
        <f>AND('Weekly Data Sheets'!S28,"AAAAAHl3eAc=")</f>
        <v>#VALUE!</v>
      </c>
      <c r="I4" t="e">
        <f>AND('Weekly Data Sheets'!T28,"AAAAAHl3eAg=")</f>
        <v>#VALUE!</v>
      </c>
      <c r="J4" t="e">
        <f>AND('Weekly Data Sheets'!U28,"AAAAAHl3eAk=")</f>
        <v>#VALUE!</v>
      </c>
      <c r="K4" t="e">
        <f>AND('Weekly Data Sheets'!V28,"AAAAAHl3eAo=")</f>
        <v>#VALUE!</v>
      </c>
      <c r="L4" t="e">
        <f>AND('Weekly Data Sheets'!W28,"AAAAAHl3eAs=")</f>
        <v>#VALUE!</v>
      </c>
      <c r="M4" t="e">
        <f>AND('Weekly Data Sheets'!X28,"AAAAAHl3eAw=")</f>
        <v>#VALUE!</v>
      </c>
      <c r="N4" t="e">
        <f>AND('Weekly Data Sheets'!Y28,"AAAAAHl3eA0=")</f>
        <v>#VALUE!</v>
      </c>
      <c r="O4" t="e">
        <f>AND('Weekly Data Sheets'!Z28,"AAAAAHl3eA4=")</f>
        <v>#VALUE!</v>
      </c>
      <c r="P4" t="e">
        <f>AND('Weekly Data Sheets'!AA28,"AAAAAHl3eA8=")</f>
        <v>#VALUE!</v>
      </c>
      <c r="Q4">
        <f>IF('Weekly Data Sheets'!29:29,"AAAAAHl3eBA=",0)</f>
        <v>0</v>
      </c>
      <c r="R4" t="e">
        <f>AND('Weekly Data Sheets'!A29,"AAAAAHl3eBE=")</f>
        <v>#VALUE!</v>
      </c>
      <c r="S4" t="e">
        <f>AND('Weekly Data Sheets'!B29,"AAAAAHl3eBI=")</f>
        <v>#VALUE!</v>
      </c>
      <c r="T4" t="e">
        <f>AND('Weekly Data Sheets'!C29,"AAAAAHl3eBM=")</f>
        <v>#VALUE!</v>
      </c>
      <c r="U4" t="e">
        <f>AND('Weekly Data Sheets'!D29,"AAAAAHl3eBQ=")</f>
        <v>#VALUE!</v>
      </c>
      <c r="V4" t="e">
        <f>AND('Weekly Data Sheets'!E29,"AAAAAHl3eBU=")</f>
        <v>#VALUE!</v>
      </c>
      <c r="W4" t="e">
        <f>AND('Weekly Data Sheets'!F29,"AAAAAHl3eBY=")</f>
        <v>#VALUE!</v>
      </c>
      <c r="X4" t="e">
        <f>AND('Weekly Data Sheets'!G29,"AAAAAHl3eBc=")</f>
        <v>#VALUE!</v>
      </c>
      <c r="Y4" t="e">
        <f>AND('Weekly Data Sheets'!H29,"AAAAAHl3eBg=")</f>
        <v>#VALUE!</v>
      </c>
      <c r="Z4" t="e">
        <f>AND('Weekly Data Sheets'!I29,"AAAAAHl3eBk=")</f>
        <v>#VALUE!</v>
      </c>
      <c r="AA4" t="e">
        <f>AND('Weekly Data Sheets'!J29,"AAAAAHl3eBo=")</f>
        <v>#VALUE!</v>
      </c>
      <c r="AB4" t="e">
        <f>AND('Weekly Data Sheets'!K29,"AAAAAHl3eBs=")</f>
        <v>#VALUE!</v>
      </c>
      <c r="AC4" t="e">
        <f>AND('Weekly Data Sheets'!L29,"AAAAAHl3eBw=")</f>
        <v>#VALUE!</v>
      </c>
      <c r="AD4" t="e">
        <f>AND('Weekly Data Sheets'!M29,"AAAAAHl3eB0=")</f>
        <v>#VALUE!</v>
      </c>
      <c r="AE4" t="e">
        <f>AND('Weekly Data Sheets'!N29,"AAAAAHl3eB4=")</f>
        <v>#VALUE!</v>
      </c>
      <c r="AF4" t="e">
        <f>AND('Weekly Data Sheets'!O29,"AAAAAHl3eB8=")</f>
        <v>#VALUE!</v>
      </c>
      <c r="AG4" t="e">
        <f>AND('Weekly Data Sheets'!P29,"AAAAAHl3eCA=")</f>
        <v>#VALUE!</v>
      </c>
      <c r="AH4" t="e">
        <f>AND('Weekly Data Sheets'!Q29,"AAAAAHl3eCE=")</f>
        <v>#VALUE!</v>
      </c>
      <c r="AI4" t="e">
        <f>AND('Weekly Data Sheets'!R29,"AAAAAHl3eCI=")</f>
        <v>#VALUE!</v>
      </c>
      <c r="AJ4" t="e">
        <f>AND('Weekly Data Sheets'!S29,"AAAAAHl3eCM=")</f>
        <v>#VALUE!</v>
      </c>
      <c r="AK4" t="e">
        <f>AND('Weekly Data Sheets'!T29,"AAAAAHl3eCQ=")</f>
        <v>#VALUE!</v>
      </c>
      <c r="AL4" t="e">
        <f>AND('Weekly Data Sheets'!U29,"AAAAAHl3eCU=")</f>
        <v>#VALUE!</v>
      </c>
      <c r="AM4" t="e">
        <f>AND('Weekly Data Sheets'!V29,"AAAAAHl3eCY=")</f>
        <v>#VALUE!</v>
      </c>
      <c r="AN4" t="e">
        <f>AND('Weekly Data Sheets'!W29,"AAAAAHl3eCc=")</f>
        <v>#VALUE!</v>
      </c>
      <c r="AO4" t="e">
        <f>AND('Weekly Data Sheets'!X29,"AAAAAHl3eCg=")</f>
        <v>#VALUE!</v>
      </c>
      <c r="AP4" t="e">
        <f>AND('Weekly Data Sheets'!Y29,"AAAAAHl3eCk=")</f>
        <v>#VALUE!</v>
      </c>
      <c r="AQ4" t="e">
        <f>AND('Weekly Data Sheets'!Z29,"AAAAAHl3eCo=")</f>
        <v>#VALUE!</v>
      </c>
      <c r="AR4" t="e">
        <f>AND('Weekly Data Sheets'!AA29,"AAAAAHl3eCs=")</f>
        <v>#VALUE!</v>
      </c>
      <c r="AS4">
        <f>IF('Weekly Data Sheets'!30:30,"AAAAAHl3eCw=",0)</f>
        <v>0</v>
      </c>
      <c r="AT4" t="e">
        <f>AND('Weekly Data Sheets'!A30,"AAAAAHl3eC0=")</f>
        <v>#VALUE!</v>
      </c>
      <c r="AU4" t="e">
        <f>AND('Weekly Data Sheets'!B30,"AAAAAHl3eC4=")</f>
        <v>#VALUE!</v>
      </c>
      <c r="AV4" t="e">
        <f>AND('Weekly Data Sheets'!C30,"AAAAAHl3eC8=")</f>
        <v>#VALUE!</v>
      </c>
      <c r="AW4" t="e">
        <f>AND('Weekly Data Sheets'!D30,"AAAAAHl3eDA=")</f>
        <v>#VALUE!</v>
      </c>
      <c r="AX4" t="e">
        <f>AND('Weekly Data Sheets'!E30,"AAAAAHl3eDE=")</f>
        <v>#VALUE!</v>
      </c>
      <c r="AY4" t="e">
        <f>AND('Weekly Data Sheets'!F30,"AAAAAHl3eDI=")</f>
        <v>#VALUE!</v>
      </c>
      <c r="AZ4" t="e">
        <f>AND('Weekly Data Sheets'!G30,"AAAAAHl3eDM=")</f>
        <v>#VALUE!</v>
      </c>
      <c r="BA4" t="e">
        <f>AND('Weekly Data Sheets'!H30,"AAAAAHl3eDQ=")</f>
        <v>#VALUE!</v>
      </c>
      <c r="BB4" t="e">
        <f>AND('Weekly Data Sheets'!I30,"AAAAAHl3eDU=")</f>
        <v>#VALUE!</v>
      </c>
      <c r="BC4" t="e">
        <f>AND('Weekly Data Sheets'!J30,"AAAAAHl3eDY=")</f>
        <v>#VALUE!</v>
      </c>
      <c r="BD4" t="e">
        <f>AND('Weekly Data Sheets'!K30,"AAAAAHl3eDc=")</f>
        <v>#VALUE!</v>
      </c>
      <c r="BE4" t="e">
        <f>AND('Weekly Data Sheets'!L30,"AAAAAHl3eDg=")</f>
        <v>#VALUE!</v>
      </c>
      <c r="BF4" t="e">
        <f>AND('Weekly Data Sheets'!M30,"AAAAAHl3eDk=")</f>
        <v>#VALUE!</v>
      </c>
      <c r="BG4" t="e">
        <f>AND('Weekly Data Sheets'!N30,"AAAAAHl3eDo=")</f>
        <v>#VALUE!</v>
      </c>
      <c r="BH4" t="e">
        <f>AND('Weekly Data Sheets'!O30,"AAAAAHl3eDs=")</f>
        <v>#VALUE!</v>
      </c>
      <c r="BI4" t="e">
        <f>AND('Weekly Data Sheets'!P30,"AAAAAHl3eDw=")</f>
        <v>#VALUE!</v>
      </c>
      <c r="BJ4" t="e">
        <f>AND('Weekly Data Sheets'!Q30,"AAAAAHl3eD0=")</f>
        <v>#VALUE!</v>
      </c>
      <c r="BK4" t="e">
        <f>AND('Weekly Data Sheets'!R30,"AAAAAHl3eD4=")</f>
        <v>#VALUE!</v>
      </c>
      <c r="BL4" t="e">
        <f>AND('Weekly Data Sheets'!S30,"AAAAAHl3eD8=")</f>
        <v>#VALUE!</v>
      </c>
      <c r="BM4" t="e">
        <f>AND('Weekly Data Sheets'!T30,"AAAAAHl3eEA=")</f>
        <v>#VALUE!</v>
      </c>
      <c r="BN4" t="e">
        <f>AND('Weekly Data Sheets'!U30,"AAAAAHl3eEE=")</f>
        <v>#VALUE!</v>
      </c>
      <c r="BO4" t="e">
        <f>AND('Weekly Data Sheets'!V30,"AAAAAHl3eEI=")</f>
        <v>#VALUE!</v>
      </c>
      <c r="BP4" t="e">
        <f>AND('Weekly Data Sheets'!W30,"AAAAAHl3eEM=")</f>
        <v>#VALUE!</v>
      </c>
      <c r="BQ4" t="e">
        <f>AND('Weekly Data Sheets'!X30,"AAAAAHl3eEQ=")</f>
        <v>#VALUE!</v>
      </c>
      <c r="BR4" t="e">
        <f>AND('Weekly Data Sheets'!Y30,"AAAAAHl3eEU=")</f>
        <v>#VALUE!</v>
      </c>
      <c r="BS4" t="e">
        <f>AND('Weekly Data Sheets'!Z30,"AAAAAHl3eEY=")</f>
        <v>#VALUE!</v>
      </c>
      <c r="BT4" t="e">
        <f>AND('Weekly Data Sheets'!AA30,"AAAAAHl3eEc=")</f>
        <v>#VALUE!</v>
      </c>
      <c r="BU4">
        <f>IF('Weekly Data Sheets'!31:31,"AAAAAHl3eEg=",0)</f>
        <v>0</v>
      </c>
      <c r="BV4" t="e">
        <f>AND('Weekly Data Sheets'!A31,"AAAAAHl3eEk=")</f>
        <v>#VALUE!</v>
      </c>
      <c r="BW4" t="e">
        <f>AND('Weekly Data Sheets'!B31,"AAAAAHl3eEo=")</f>
        <v>#VALUE!</v>
      </c>
      <c r="BX4" t="e">
        <f>AND('Weekly Data Sheets'!C31,"AAAAAHl3eEs=")</f>
        <v>#VALUE!</v>
      </c>
      <c r="BY4" t="e">
        <f>AND('Weekly Data Sheets'!D31,"AAAAAHl3eEw=")</f>
        <v>#VALUE!</v>
      </c>
      <c r="BZ4" t="e">
        <f>AND('Weekly Data Sheets'!E31,"AAAAAHl3eE0=")</f>
        <v>#VALUE!</v>
      </c>
      <c r="CA4" t="e">
        <f>AND('Weekly Data Sheets'!F31,"AAAAAHl3eE4=")</f>
        <v>#VALUE!</v>
      </c>
      <c r="CB4" t="e">
        <f>AND('Weekly Data Sheets'!G31,"AAAAAHl3eE8=")</f>
        <v>#VALUE!</v>
      </c>
      <c r="CC4" t="e">
        <f>AND('Weekly Data Sheets'!H31,"AAAAAHl3eFA=")</f>
        <v>#VALUE!</v>
      </c>
      <c r="CD4" t="e">
        <f>AND('Weekly Data Sheets'!I31,"AAAAAHl3eFE=")</f>
        <v>#VALUE!</v>
      </c>
      <c r="CE4" t="e">
        <f>AND('Weekly Data Sheets'!J31,"AAAAAHl3eFI=")</f>
        <v>#VALUE!</v>
      </c>
      <c r="CF4" t="e">
        <f>AND('Weekly Data Sheets'!K31,"AAAAAHl3eFM=")</f>
        <v>#VALUE!</v>
      </c>
      <c r="CG4" t="e">
        <f>AND('Weekly Data Sheets'!L31,"AAAAAHl3eFQ=")</f>
        <v>#VALUE!</v>
      </c>
      <c r="CH4" t="e">
        <f>AND('Weekly Data Sheets'!M31,"AAAAAHl3eFU=")</f>
        <v>#VALUE!</v>
      </c>
      <c r="CI4" t="e">
        <f>AND('Weekly Data Sheets'!N31,"AAAAAHl3eFY=")</f>
        <v>#VALUE!</v>
      </c>
      <c r="CJ4" t="e">
        <f>AND('Weekly Data Sheets'!O31,"AAAAAHl3eFc=")</f>
        <v>#VALUE!</v>
      </c>
      <c r="CK4" t="e">
        <f>AND('Weekly Data Sheets'!P31,"AAAAAHl3eFg=")</f>
        <v>#VALUE!</v>
      </c>
      <c r="CL4" t="e">
        <f>AND('Weekly Data Sheets'!Q31,"AAAAAHl3eFk=")</f>
        <v>#VALUE!</v>
      </c>
      <c r="CM4" t="e">
        <f>AND('Weekly Data Sheets'!R31,"AAAAAHl3eFo=")</f>
        <v>#VALUE!</v>
      </c>
      <c r="CN4" t="e">
        <f>AND('Weekly Data Sheets'!S31,"AAAAAHl3eFs=")</f>
        <v>#VALUE!</v>
      </c>
      <c r="CO4" t="e">
        <f>AND('Weekly Data Sheets'!T31,"AAAAAHl3eFw=")</f>
        <v>#VALUE!</v>
      </c>
      <c r="CP4" t="e">
        <f>AND('Weekly Data Sheets'!U31,"AAAAAHl3eF0=")</f>
        <v>#VALUE!</v>
      </c>
      <c r="CQ4" t="e">
        <f>AND('Weekly Data Sheets'!V31,"AAAAAHl3eF4=")</f>
        <v>#VALUE!</v>
      </c>
      <c r="CR4" t="e">
        <f>AND('Weekly Data Sheets'!W31,"AAAAAHl3eF8=")</f>
        <v>#VALUE!</v>
      </c>
      <c r="CS4" t="e">
        <f>AND('Weekly Data Sheets'!X31,"AAAAAHl3eGA=")</f>
        <v>#VALUE!</v>
      </c>
      <c r="CT4" t="e">
        <f>AND('Weekly Data Sheets'!Y31,"AAAAAHl3eGE=")</f>
        <v>#VALUE!</v>
      </c>
      <c r="CU4" t="e">
        <f>AND('Weekly Data Sheets'!Z31,"AAAAAHl3eGI=")</f>
        <v>#VALUE!</v>
      </c>
      <c r="CV4" t="e">
        <f>AND('Weekly Data Sheets'!AA31,"AAAAAHl3eGM=")</f>
        <v>#VALUE!</v>
      </c>
      <c r="CW4">
        <f>IF('Weekly Data Sheets'!32:32,"AAAAAHl3eGQ=",0)</f>
        <v>0</v>
      </c>
      <c r="CX4" t="e">
        <f>AND('Weekly Data Sheets'!A32,"AAAAAHl3eGU=")</f>
        <v>#VALUE!</v>
      </c>
      <c r="CY4" t="e">
        <f>AND('Weekly Data Sheets'!B32,"AAAAAHl3eGY=")</f>
        <v>#VALUE!</v>
      </c>
      <c r="CZ4" t="e">
        <f>AND('Weekly Data Sheets'!C32,"AAAAAHl3eGc=")</f>
        <v>#VALUE!</v>
      </c>
      <c r="DA4" t="e">
        <f>AND('Weekly Data Sheets'!D32,"AAAAAHl3eGg=")</f>
        <v>#VALUE!</v>
      </c>
      <c r="DB4" t="e">
        <f>AND('Weekly Data Sheets'!E32,"AAAAAHl3eGk=")</f>
        <v>#VALUE!</v>
      </c>
      <c r="DC4" t="e">
        <f>AND('Weekly Data Sheets'!F32,"AAAAAHl3eGo=")</f>
        <v>#VALUE!</v>
      </c>
      <c r="DD4" t="e">
        <f>AND('Weekly Data Sheets'!G32,"AAAAAHl3eGs=")</f>
        <v>#VALUE!</v>
      </c>
      <c r="DE4" t="e">
        <f>AND('Weekly Data Sheets'!H32,"AAAAAHl3eGw=")</f>
        <v>#VALUE!</v>
      </c>
      <c r="DF4" t="e">
        <f>AND('Weekly Data Sheets'!I32,"AAAAAHl3eG0=")</f>
        <v>#VALUE!</v>
      </c>
      <c r="DG4" t="e">
        <f>AND('Weekly Data Sheets'!J32,"AAAAAHl3eG4=")</f>
        <v>#VALUE!</v>
      </c>
      <c r="DH4" t="e">
        <f>AND('Weekly Data Sheets'!K32,"AAAAAHl3eG8=")</f>
        <v>#VALUE!</v>
      </c>
      <c r="DI4" t="e">
        <f>AND('Weekly Data Sheets'!L32,"AAAAAHl3eHA=")</f>
        <v>#VALUE!</v>
      </c>
      <c r="DJ4" t="e">
        <f>AND('Weekly Data Sheets'!M32,"AAAAAHl3eHE=")</f>
        <v>#VALUE!</v>
      </c>
      <c r="DK4" t="e">
        <f>AND('Weekly Data Sheets'!N32,"AAAAAHl3eHI=")</f>
        <v>#VALUE!</v>
      </c>
      <c r="DL4" t="e">
        <f>AND('Weekly Data Sheets'!O32,"AAAAAHl3eHM=")</f>
        <v>#VALUE!</v>
      </c>
      <c r="DM4" t="e">
        <f>AND('Weekly Data Sheets'!P32,"AAAAAHl3eHQ=")</f>
        <v>#VALUE!</v>
      </c>
      <c r="DN4" t="e">
        <f>AND('Weekly Data Sheets'!Q32,"AAAAAHl3eHU=")</f>
        <v>#VALUE!</v>
      </c>
      <c r="DO4" t="e">
        <f>AND('Weekly Data Sheets'!R32,"AAAAAHl3eHY=")</f>
        <v>#VALUE!</v>
      </c>
      <c r="DP4" t="e">
        <f>AND('Weekly Data Sheets'!S32,"AAAAAHl3eHc=")</f>
        <v>#VALUE!</v>
      </c>
      <c r="DQ4" t="e">
        <f>AND('Weekly Data Sheets'!T32,"AAAAAHl3eHg=")</f>
        <v>#VALUE!</v>
      </c>
      <c r="DR4" t="e">
        <f>AND('Weekly Data Sheets'!U32,"AAAAAHl3eHk=")</f>
        <v>#VALUE!</v>
      </c>
      <c r="DS4" t="e">
        <f>AND('Weekly Data Sheets'!V32,"AAAAAHl3eHo=")</f>
        <v>#VALUE!</v>
      </c>
      <c r="DT4" t="e">
        <f>AND('Weekly Data Sheets'!W32,"AAAAAHl3eHs=")</f>
        <v>#VALUE!</v>
      </c>
      <c r="DU4" t="e">
        <f>AND('Weekly Data Sheets'!X32,"AAAAAHl3eHw=")</f>
        <v>#VALUE!</v>
      </c>
      <c r="DV4" t="e">
        <f>AND('Weekly Data Sheets'!Y32,"AAAAAHl3eH0=")</f>
        <v>#VALUE!</v>
      </c>
      <c r="DW4" t="e">
        <f>AND('Weekly Data Sheets'!Z32,"AAAAAHl3eH4=")</f>
        <v>#VALUE!</v>
      </c>
      <c r="DX4" t="e">
        <f>AND('Weekly Data Sheets'!AA32,"AAAAAHl3eH8=")</f>
        <v>#VALUE!</v>
      </c>
      <c r="DY4">
        <f>IF('Weekly Data Sheets'!33:33,"AAAAAHl3eIA=",0)</f>
        <v>0</v>
      </c>
      <c r="DZ4" t="e">
        <f>AND('Weekly Data Sheets'!A33,"AAAAAHl3eIE=")</f>
        <v>#VALUE!</v>
      </c>
      <c r="EA4" t="e">
        <f>AND('Weekly Data Sheets'!B33,"AAAAAHl3eII=")</f>
        <v>#VALUE!</v>
      </c>
      <c r="EB4" t="e">
        <f>AND('Weekly Data Sheets'!C33,"AAAAAHl3eIM=")</f>
        <v>#VALUE!</v>
      </c>
      <c r="EC4" t="e">
        <f>AND('Weekly Data Sheets'!D33,"AAAAAHl3eIQ=")</f>
        <v>#VALUE!</v>
      </c>
      <c r="ED4" t="e">
        <f>AND('Weekly Data Sheets'!E33,"AAAAAHl3eIU=")</f>
        <v>#VALUE!</v>
      </c>
      <c r="EE4" t="e">
        <f>AND('Weekly Data Sheets'!F33,"AAAAAHl3eIY=")</f>
        <v>#VALUE!</v>
      </c>
      <c r="EF4" t="e">
        <f>AND('Weekly Data Sheets'!G33,"AAAAAHl3eIc=")</f>
        <v>#VALUE!</v>
      </c>
      <c r="EG4" t="e">
        <f>AND('Weekly Data Sheets'!H33,"AAAAAHl3eIg=")</f>
        <v>#VALUE!</v>
      </c>
      <c r="EH4" t="e">
        <f>AND('Weekly Data Sheets'!I33,"AAAAAHl3eIk=")</f>
        <v>#VALUE!</v>
      </c>
      <c r="EI4" t="e">
        <f>AND('Weekly Data Sheets'!J33,"AAAAAHl3eIo=")</f>
        <v>#VALUE!</v>
      </c>
      <c r="EJ4" t="e">
        <f>AND('Weekly Data Sheets'!K33,"AAAAAHl3eIs=")</f>
        <v>#VALUE!</v>
      </c>
      <c r="EK4" t="e">
        <f>AND('Weekly Data Sheets'!L33,"AAAAAHl3eIw=")</f>
        <v>#VALUE!</v>
      </c>
      <c r="EL4" t="e">
        <f>AND('Weekly Data Sheets'!M33,"AAAAAHl3eI0=")</f>
        <v>#VALUE!</v>
      </c>
      <c r="EM4" t="e">
        <f>AND('Weekly Data Sheets'!N33,"AAAAAHl3eI4=")</f>
        <v>#VALUE!</v>
      </c>
      <c r="EN4" t="e">
        <f>AND('Weekly Data Sheets'!O33,"AAAAAHl3eI8=")</f>
        <v>#VALUE!</v>
      </c>
      <c r="EO4" t="e">
        <f>AND('Weekly Data Sheets'!P33,"AAAAAHl3eJA=")</f>
        <v>#VALUE!</v>
      </c>
      <c r="EP4" t="e">
        <f>AND('Weekly Data Sheets'!Q33,"AAAAAHl3eJE=")</f>
        <v>#VALUE!</v>
      </c>
      <c r="EQ4" t="e">
        <f>AND('Weekly Data Sheets'!R33,"AAAAAHl3eJI=")</f>
        <v>#VALUE!</v>
      </c>
      <c r="ER4" t="e">
        <f>AND('Weekly Data Sheets'!S33,"AAAAAHl3eJM=")</f>
        <v>#VALUE!</v>
      </c>
      <c r="ES4" t="e">
        <f>AND('Weekly Data Sheets'!T33,"AAAAAHl3eJQ=")</f>
        <v>#VALUE!</v>
      </c>
      <c r="ET4" t="e">
        <f>AND('Weekly Data Sheets'!U33,"AAAAAHl3eJU=")</f>
        <v>#VALUE!</v>
      </c>
      <c r="EU4" t="e">
        <f>AND('Weekly Data Sheets'!V33,"AAAAAHl3eJY=")</f>
        <v>#VALUE!</v>
      </c>
      <c r="EV4" t="e">
        <f>AND('Weekly Data Sheets'!W33,"AAAAAHl3eJc=")</f>
        <v>#VALUE!</v>
      </c>
      <c r="EW4" t="e">
        <f>AND('Weekly Data Sheets'!X33,"AAAAAHl3eJg=")</f>
        <v>#VALUE!</v>
      </c>
      <c r="EX4" t="e">
        <f>AND('Weekly Data Sheets'!Y33,"AAAAAHl3eJk=")</f>
        <v>#VALUE!</v>
      </c>
      <c r="EY4" t="e">
        <f>AND('Weekly Data Sheets'!Z33,"AAAAAHl3eJo=")</f>
        <v>#VALUE!</v>
      </c>
      <c r="EZ4" t="e">
        <f>AND('Weekly Data Sheets'!AA33,"AAAAAHl3eJs=")</f>
        <v>#VALUE!</v>
      </c>
      <c r="FA4">
        <f>IF('Weekly Data Sheets'!34:34,"AAAAAHl3eJw=",0)</f>
        <v>0</v>
      </c>
      <c r="FB4" t="e">
        <f>AND('Weekly Data Sheets'!A34,"AAAAAHl3eJ0=")</f>
        <v>#VALUE!</v>
      </c>
      <c r="FC4" t="e">
        <f>AND('Weekly Data Sheets'!B34,"AAAAAHl3eJ4=")</f>
        <v>#VALUE!</v>
      </c>
      <c r="FD4" t="e">
        <f>AND('Weekly Data Sheets'!C34,"AAAAAHl3eJ8=")</f>
        <v>#VALUE!</v>
      </c>
      <c r="FE4" t="e">
        <f>AND('Weekly Data Sheets'!D34,"AAAAAHl3eKA=")</f>
        <v>#VALUE!</v>
      </c>
      <c r="FF4" t="e">
        <f>AND('Weekly Data Sheets'!E34,"AAAAAHl3eKE=")</f>
        <v>#VALUE!</v>
      </c>
      <c r="FG4" t="e">
        <f>AND('Weekly Data Sheets'!F34,"AAAAAHl3eKI=")</f>
        <v>#VALUE!</v>
      </c>
      <c r="FH4" t="e">
        <f>AND('Weekly Data Sheets'!G34,"AAAAAHl3eKM=")</f>
        <v>#VALUE!</v>
      </c>
      <c r="FI4" t="e">
        <f>AND('Weekly Data Sheets'!H34,"AAAAAHl3eKQ=")</f>
        <v>#VALUE!</v>
      </c>
      <c r="FJ4" t="e">
        <f>AND('Weekly Data Sheets'!I34,"AAAAAHl3eKU=")</f>
        <v>#VALUE!</v>
      </c>
      <c r="FK4" t="e">
        <f>AND('Weekly Data Sheets'!J34,"AAAAAHl3eKY=")</f>
        <v>#VALUE!</v>
      </c>
      <c r="FL4" t="e">
        <f>AND('Weekly Data Sheets'!K34,"AAAAAHl3eKc=")</f>
        <v>#VALUE!</v>
      </c>
      <c r="FM4" t="e">
        <f>AND('Weekly Data Sheets'!L34,"AAAAAHl3eKg=")</f>
        <v>#VALUE!</v>
      </c>
      <c r="FN4" t="e">
        <f>AND('Weekly Data Sheets'!M34,"AAAAAHl3eKk=")</f>
        <v>#VALUE!</v>
      </c>
      <c r="FO4" t="e">
        <f>AND('Weekly Data Sheets'!N34,"AAAAAHl3eKo=")</f>
        <v>#VALUE!</v>
      </c>
      <c r="FP4" t="e">
        <f>AND('Weekly Data Sheets'!O34,"AAAAAHl3eKs=")</f>
        <v>#VALUE!</v>
      </c>
      <c r="FQ4" t="e">
        <f>AND('Weekly Data Sheets'!P34,"AAAAAHl3eKw=")</f>
        <v>#VALUE!</v>
      </c>
      <c r="FR4" t="e">
        <f>AND('Weekly Data Sheets'!Q34,"AAAAAHl3eK0=")</f>
        <v>#VALUE!</v>
      </c>
      <c r="FS4" t="e">
        <f>AND('Weekly Data Sheets'!R34,"AAAAAHl3eK4=")</f>
        <v>#VALUE!</v>
      </c>
      <c r="FT4" t="e">
        <f>AND('Weekly Data Sheets'!S34,"AAAAAHl3eK8=")</f>
        <v>#VALUE!</v>
      </c>
      <c r="FU4" t="e">
        <f>AND('Weekly Data Sheets'!T34,"AAAAAHl3eLA=")</f>
        <v>#VALUE!</v>
      </c>
      <c r="FV4" t="e">
        <f>AND('Weekly Data Sheets'!U34,"AAAAAHl3eLE=")</f>
        <v>#VALUE!</v>
      </c>
      <c r="FW4" t="e">
        <f>AND('Weekly Data Sheets'!V34,"AAAAAHl3eLI=")</f>
        <v>#VALUE!</v>
      </c>
      <c r="FX4" t="e">
        <f>AND('Weekly Data Sheets'!W34,"AAAAAHl3eLM=")</f>
        <v>#VALUE!</v>
      </c>
      <c r="FY4" t="e">
        <f>AND('Weekly Data Sheets'!X34,"AAAAAHl3eLQ=")</f>
        <v>#VALUE!</v>
      </c>
      <c r="FZ4" t="e">
        <f>AND('Weekly Data Sheets'!Y34,"AAAAAHl3eLU=")</f>
        <v>#VALUE!</v>
      </c>
      <c r="GA4" t="e">
        <f>AND('Weekly Data Sheets'!Z34,"AAAAAHl3eLY=")</f>
        <v>#VALUE!</v>
      </c>
      <c r="GB4" t="e">
        <f>AND('Weekly Data Sheets'!AA34,"AAAAAHl3eLc=")</f>
        <v>#VALUE!</v>
      </c>
      <c r="GC4">
        <f>IF('Weekly Data Sheets'!35:35,"AAAAAHl3eLg=",0)</f>
        <v>0</v>
      </c>
      <c r="GD4" t="e">
        <f>AND('Weekly Data Sheets'!A35,"AAAAAHl3eLk=")</f>
        <v>#VALUE!</v>
      </c>
      <c r="GE4" t="e">
        <f>AND('Weekly Data Sheets'!B35,"AAAAAHl3eLo=")</f>
        <v>#VALUE!</v>
      </c>
      <c r="GF4" t="e">
        <f>AND('Weekly Data Sheets'!C35,"AAAAAHl3eLs=")</f>
        <v>#VALUE!</v>
      </c>
      <c r="GG4" t="e">
        <f>AND('Weekly Data Sheets'!D35,"AAAAAHl3eLw=")</f>
        <v>#VALUE!</v>
      </c>
      <c r="GH4" t="e">
        <f>AND('Weekly Data Sheets'!E35,"AAAAAHl3eL0=")</f>
        <v>#VALUE!</v>
      </c>
      <c r="GI4" t="e">
        <f>AND('Weekly Data Sheets'!F35,"AAAAAHl3eL4=")</f>
        <v>#VALUE!</v>
      </c>
      <c r="GJ4" t="e">
        <f>AND('Weekly Data Sheets'!G35,"AAAAAHl3eL8=")</f>
        <v>#VALUE!</v>
      </c>
      <c r="GK4" t="e">
        <f>AND('Weekly Data Sheets'!H35,"AAAAAHl3eMA=")</f>
        <v>#VALUE!</v>
      </c>
      <c r="GL4" t="e">
        <f>AND('Weekly Data Sheets'!I35,"AAAAAHl3eME=")</f>
        <v>#VALUE!</v>
      </c>
      <c r="GM4" t="e">
        <f>AND('Weekly Data Sheets'!J35,"AAAAAHl3eMI=")</f>
        <v>#VALUE!</v>
      </c>
      <c r="GN4" t="e">
        <f>AND('Weekly Data Sheets'!K35,"AAAAAHl3eMM=")</f>
        <v>#VALUE!</v>
      </c>
      <c r="GO4" t="e">
        <f>AND('Weekly Data Sheets'!L35,"AAAAAHl3eMQ=")</f>
        <v>#VALUE!</v>
      </c>
      <c r="GP4" t="e">
        <f>AND('Weekly Data Sheets'!M35,"AAAAAHl3eMU=")</f>
        <v>#VALUE!</v>
      </c>
      <c r="GQ4" t="e">
        <f>AND('Weekly Data Sheets'!N35,"AAAAAHl3eMY=")</f>
        <v>#VALUE!</v>
      </c>
      <c r="GR4" t="e">
        <f>AND('Weekly Data Sheets'!O35,"AAAAAHl3eMc=")</f>
        <v>#VALUE!</v>
      </c>
      <c r="GS4" t="e">
        <f>AND('Weekly Data Sheets'!P35,"AAAAAHl3eMg=")</f>
        <v>#VALUE!</v>
      </c>
      <c r="GT4" t="e">
        <f>AND('Weekly Data Sheets'!Q35,"AAAAAHl3eMk=")</f>
        <v>#VALUE!</v>
      </c>
      <c r="GU4" t="e">
        <f>AND('Weekly Data Sheets'!R35,"AAAAAHl3eMo=")</f>
        <v>#VALUE!</v>
      </c>
      <c r="GV4" t="e">
        <f>AND('Weekly Data Sheets'!S35,"AAAAAHl3eMs=")</f>
        <v>#VALUE!</v>
      </c>
      <c r="GW4" t="e">
        <f>AND('Weekly Data Sheets'!T35,"AAAAAHl3eMw=")</f>
        <v>#VALUE!</v>
      </c>
      <c r="GX4" t="e">
        <f>AND('Weekly Data Sheets'!U35,"AAAAAHl3eM0=")</f>
        <v>#VALUE!</v>
      </c>
      <c r="GY4" t="e">
        <f>AND('Weekly Data Sheets'!V35,"AAAAAHl3eM4=")</f>
        <v>#VALUE!</v>
      </c>
      <c r="GZ4" t="e">
        <f>AND('Weekly Data Sheets'!W35,"AAAAAHl3eM8=")</f>
        <v>#VALUE!</v>
      </c>
      <c r="HA4" t="e">
        <f>AND('Weekly Data Sheets'!X35,"AAAAAHl3eNA=")</f>
        <v>#VALUE!</v>
      </c>
      <c r="HB4" t="e">
        <f>AND('Weekly Data Sheets'!Y35,"AAAAAHl3eNE=")</f>
        <v>#VALUE!</v>
      </c>
      <c r="HC4" t="e">
        <f>AND('Weekly Data Sheets'!Z35,"AAAAAHl3eNI=")</f>
        <v>#VALUE!</v>
      </c>
      <c r="HD4" t="e">
        <f>AND('Weekly Data Sheets'!AA35,"AAAAAHl3eNM=")</f>
        <v>#VALUE!</v>
      </c>
      <c r="HE4">
        <f>IF('Weekly Data Sheets'!36:36,"AAAAAHl3eNQ=",0)</f>
        <v>0</v>
      </c>
      <c r="HF4" t="e">
        <f>AND('Weekly Data Sheets'!A36,"AAAAAHl3eNU=")</f>
        <v>#VALUE!</v>
      </c>
      <c r="HG4" t="e">
        <f>AND('Weekly Data Sheets'!B36,"AAAAAHl3eNY=")</f>
        <v>#VALUE!</v>
      </c>
      <c r="HH4" t="e">
        <f>AND('Weekly Data Sheets'!C36,"AAAAAHl3eNc=")</f>
        <v>#VALUE!</v>
      </c>
      <c r="HI4" t="e">
        <f>AND('Weekly Data Sheets'!D36,"AAAAAHl3eNg=")</f>
        <v>#VALUE!</v>
      </c>
      <c r="HJ4" t="e">
        <f>AND('Weekly Data Sheets'!E36,"AAAAAHl3eNk=")</f>
        <v>#VALUE!</v>
      </c>
      <c r="HK4" t="e">
        <f>AND('Weekly Data Sheets'!F36,"AAAAAHl3eNo=")</f>
        <v>#VALUE!</v>
      </c>
      <c r="HL4" t="e">
        <f>AND('Weekly Data Sheets'!G36,"AAAAAHl3eNs=")</f>
        <v>#VALUE!</v>
      </c>
      <c r="HM4" t="e">
        <f>AND('Weekly Data Sheets'!H36,"AAAAAHl3eNw=")</f>
        <v>#VALUE!</v>
      </c>
      <c r="HN4" t="e">
        <f>AND('Weekly Data Sheets'!I36,"AAAAAHl3eN0=")</f>
        <v>#VALUE!</v>
      </c>
      <c r="HO4" t="e">
        <f>AND('Weekly Data Sheets'!J36,"AAAAAHl3eN4=")</f>
        <v>#VALUE!</v>
      </c>
      <c r="HP4" t="e">
        <f>AND('Weekly Data Sheets'!K36,"AAAAAHl3eN8=")</f>
        <v>#VALUE!</v>
      </c>
      <c r="HQ4" t="e">
        <f>AND('Weekly Data Sheets'!L36,"AAAAAHl3eOA=")</f>
        <v>#VALUE!</v>
      </c>
      <c r="HR4" t="e">
        <f>AND('Weekly Data Sheets'!M36,"AAAAAHl3eOE=")</f>
        <v>#VALUE!</v>
      </c>
      <c r="HS4" t="e">
        <f>AND('Weekly Data Sheets'!N36,"AAAAAHl3eOI=")</f>
        <v>#VALUE!</v>
      </c>
      <c r="HT4" t="e">
        <f>AND('Weekly Data Sheets'!O36,"AAAAAHl3eOM=")</f>
        <v>#VALUE!</v>
      </c>
      <c r="HU4" t="e">
        <f>AND('Weekly Data Sheets'!P36,"AAAAAHl3eOQ=")</f>
        <v>#VALUE!</v>
      </c>
      <c r="HV4" t="e">
        <f>AND('Weekly Data Sheets'!Q36,"AAAAAHl3eOU=")</f>
        <v>#VALUE!</v>
      </c>
      <c r="HW4" t="e">
        <f>AND('Weekly Data Sheets'!R36,"AAAAAHl3eOY=")</f>
        <v>#VALUE!</v>
      </c>
      <c r="HX4" t="e">
        <f>AND('Weekly Data Sheets'!S36,"AAAAAHl3eOc=")</f>
        <v>#VALUE!</v>
      </c>
      <c r="HY4" t="e">
        <f>AND('Weekly Data Sheets'!T36,"AAAAAHl3eOg=")</f>
        <v>#VALUE!</v>
      </c>
      <c r="HZ4" t="e">
        <f>AND('Weekly Data Sheets'!U36,"AAAAAHl3eOk=")</f>
        <v>#VALUE!</v>
      </c>
      <c r="IA4" t="e">
        <f>AND('Weekly Data Sheets'!V36,"AAAAAHl3eOo=")</f>
        <v>#VALUE!</v>
      </c>
      <c r="IB4" t="e">
        <f>AND('Weekly Data Sheets'!W36,"AAAAAHl3eOs=")</f>
        <v>#VALUE!</v>
      </c>
      <c r="IC4" t="e">
        <f>AND('Weekly Data Sheets'!X36,"AAAAAHl3eOw=")</f>
        <v>#VALUE!</v>
      </c>
      <c r="ID4" t="e">
        <f>AND('Weekly Data Sheets'!Y36,"AAAAAHl3eO0=")</f>
        <v>#VALUE!</v>
      </c>
      <c r="IE4" t="e">
        <f>AND('Weekly Data Sheets'!Z36,"AAAAAHl3eO4=")</f>
        <v>#VALUE!</v>
      </c>
      <c r="IF4" t="e">
        <f>AND('Weekly Data Sheets'!AA36,"AAAAAHl3eO8=")</f>
        <v>#VALUE!</v>
      </c>
      <c r="IG4">
        <f>IF('Weekly Data Sheets'!37:37,"AAAAAHl3ePA=",0)</f>
        <v>0</v>
      </c>
      <c r="IH4" t="e">
        <f>AND('Weekly Data Sheets'!A37,"AAAAAHl3ePE=")</f>
        <v>#VALUE!</v>
      </c>
      <c r="II4" t="e">
        <f>AND('Weekly Data Sheets'!B37,"AAAAAHl3ePI=")</f>
        <v>#VALUE!</v>
      </c>
      <c r="IJ4" t="e">
        <f>AND('Weekly Data Sheets'!C37,"AAAAAHl3ePM=")</f>
        <v>#VALUE!</v>
      </c>
      <c r="IK4" t="e">
        <f>AND('Weekly Data Sheets'!D37,"AAAAAHl3ePQ=")</f>
        <v>#VALUE!</v>
      </c>
      <c r="IL4" t="e">
        <f>AND('Weekly Data Sheets'!E37,"AAAAAHl3ePU=")</f>
        <v>#VALUE!</v>
      </c>
      <c r="IM4" t="e">
        <f>AND('Weekly Data Sheets'!F37,"AAAAAHl3ePY=")</f>
        <v>#VALUE!</v>
      </c>
      <c r="IN4" t="e">
        <f>AND('Weekly Data Sheets'!G37,"AAAAAHl3ePc=")</f>
        <v>#VALUE!</v>
      </c>
      <c r="IO4" t="e">
        <f>AND('Weekly Data Sheets'!H37,"AAAAAHl3ePg=")</f>
        <v>#VALUE!</v>
      </c>
      <c r="IP4" t="e">
        <f>AND('Weekly Data Sheets'!I37,"AAAAAHl3ePk=")</f>
        <v>#VALUE!</v>
      </c>
      <c r="IQ4" t="e">
        <f>AND('Weekly Data Sheets'!J37,"AAAAAHl3ePo=")</f>
        <v>#VALUE!</v>
      </c>
      <c r="IR4" t="e">
        <f>AND('Weekly Data Sheets'!K37,"AAAAAHl3ePs=")</f>
        <v>#VALUE!</v>
      </c>
      <c r="IS4" t="e">
        <f>AND('Weekly Data Sheets'!L37,"AAAAAHl3ePw=")</f>
        <v>#VALUE!</v>
      </c>
      <c r="IT4" t="e">
        <f>AND('Weekly Data Sheets'!M37,"AAAAAHl3eP0=")</f>
        <v>#VALUE!</v>
      </c>
      <c r="IU4" t="e">
        <f>AND('Weekly Data Sheets'!N37,"AAAAAHl3eP4=")</f>
        <v>#VALUE!</v>
      </c>
      <c r="IV4" t="e">
        <f>AND('Weekly Data Sheets'!O37,"AAAAAHl3eP8=")</f>
        <v>#VALUE!</v>
      </c>
    </row>
    <row r="5" spans="1:256" ht="12.75">
      <c r="A5" t="e">
        <f>AND('Weekly Data Sheets'!P37,"AAAAAG39nwA=")</f>
        <v>#VALUE!</v>
      </c>
      <c r="B5" t="e">
        <f>AND('Weekly Data Sheets'!Q37,"AAAAAG39nwE=")</f>
        <v>#VALUE!</v>
      </c>
      <c r="C5" t="e">
        <f>AND('Weekly Data Sheets'!R37,"AAAAAG39nwI=")</f>
        <v>#VALUE!</v>
      </c>
      <c r="D5" t="e">
        <f>AND('Weekly Data Sheets'!S37,"AAAAAG39nwM=")</f>
        <v>#VALUE!</v>
      </c>
      <c r="E5" t="e">
        <f>AND('Weekly Data Sheets'!T37,"AAAAAG39nwQ=")</f>
        <v>#VALUE!</v>
      </c>
      <c r="F5" t="e">
        <f>AND('Weekly Data Sheets'!U37,"AAAAAG39nwU=")</f>
        <v>#VALUE!</v>
      </c>
      <c r="G5" t="e">
        <f>AND('Weekly Data Sheets'!V37,"AAAAAG39nwY=")</f>
        <v>#VALUE!</v>
      </c>
      <c r="H5" t="e">
        <f>AND('Weekly Data Sheets'!W37,"AAAAAG39nwc=")</f>
        <v>#VALUE!</v>
      </c>
      <c r="I5" t="e">
        <f>AND('Weekly Data Sheets'!X37,"AAAAAG39nwg=")</f>
        <v>#VALUE!</v>
      </c>
      <c r="J5" t="e">
        <f>AND('Weekly Data Sheets'!Y37,"AAAAAG39nwk=")</f>
        <v>#VALUE!</v>
      </c>
      <c r="K5" t="e">
        <f>AND('Weekly Data Sheets'!Z37,"AAAAAG39nwo=")</f>
        <v>#VALUE!</v>
      </c>
      <c r="L5" t="e">
        <f>AND('Weekly Data Sheets'!AA37,"AAAAAG39nws=")</f>
        <v>#VALUE!</v>
      </c>
      <c r="M5">
        <f>IF('Weekly Data Sheets'!38:38,"AAAAAG39nww=",0)</f>
        <v>0</v>
      </c>
      <c r="N5" t="e">
        <f>AND('Weekly Data Sheets'!A38,"AAAAAG39nw0=")</f>
        <v>#VALUE!</v>
      </c>
      <c r="O5" t="e">
        <f>AND('Weekly Data Sheets'!B38,"AAAAAG39nw4=")</f>
        <v>#VALUE!</v>
      </c>
      <c r="P5" t="e">
        <f>AND('Weekly Data Sheets'!C38,"AAAAAG39nw8=")</f>
        <v>#VALUE!</v>
      </c>
      <c r="Q5" t="e">
        <f>AND('Weekly Data Sheets'!D38,"AAAAAG39nxA=")</f>
        <v>#VALUE!</v>
      </c>
      <c r="R5" t="e">
        <f>AND('Weekly Data Sheets'!E38,"AAAAAG39nxE=")</f>
        <v>#VALUE!</v>
      </c>
      <c r="S5" t="e">
        <f>AND('Weekly Data Sheets'!F38,"AAAAAG39nxI=")</f>
        <v>#VALUE!</v>
      </c>
      <c r="T5" t="e">
        <f>AND('Weekly Data Sheets'!G38,"AAAAAG39nxM=")</f>
        <v>#VALUE!</v>
      </c>
      <c r="U5" t="e">
        <f>AND('Weekly Data Sheets'!H38,"AAAAAG39nxQ=")</f>
        <v>#VALUE!</v>
      </c>
      <c r="V5" t="e">
        <f>AND('Weekly Data Sheets'!I38,"AAAAAG39nxU=")</f>
        <v>#VALUE!</v>
      </c>
      <c r="W5" t="e">
        <f>AND('Weekly Data Sheets'!J38,"AAAAAG39nxY=")</f>
        <v>#VALUE!</v>
      </c>
      <c r="X5" t="e">
        <f>AND('Weekly Data Sheets'!K38,"AAAAAG39nxc=")</f>
        <v>#VALUE!</v>
      </c>
      <c r="Y5" t="e">
        <f>AND('Weekly Data Sheets'!L38,"AAAAAG39nxg=")</f>
        <v>#VALUE!</v>
      </c>
      <c r="Z5" t="e">
        <f>AND('Weekly Data Sheets'!M38,"AAAAAG39nxk=")</f>
        <v>#VALUE!</v>
      </c>
      <c r="AA5" t="e">
        <f>AND('Weekly Data Sheets'!N38,"AAAAAG39nxo=")</f>
        <v>#VALUE!</v>
      </c>
      <c r="AB5" t="e">
        <f>AND('Weekly Data Sheets'!O38,"AAAAAG39nxs=")</f>
        <v>#VALUE!</v>
      </c>
      <c r="AC5" t="e">
        <f>AND('Weekly Data Sheets'!P38,"AAAAAG39nxw=")</f>
        <v>#VALUE!</v>
      </c>
      <c r="AD5" t="e">
        <f>AND('Weekly Data Sheets'!Q38,"AAAAAG39nx0=")</f>
        <v>#VALUE!</v>
      </c>
      <c r="AE5" t="e">
        <f>AND('Weekly Data Sheets'!R38,"AAAAAG39nx4=")</f>
        <v>#VALUE!</v>
      </c>
      <c r="AF5" t="e">
        <f>AND('Weekly Data Sheets'!S38,"AAAAAG39nx8=")</f>
        <v>#VALUE!</v>
      </c>
      <c r="AG5" t="e">
        <f>AND('Weekly Data Sheets'!T38,"AAAAAG39nyA=")</f>
        <v>#VALUE!</v>
      </c>
      <c r="AH5" t="e">
        <f>AND('Weekly Data Sheets'!U38,"AAAAAG39nyE=")</f>
        <v>#VALUE!</v>
      </c>
      <c r="AI5" t="e">
        <f>AND('Weekly Data Sheets'!V38,"AAAAAG39nyI=")</f>
        <v>#VALUE!</v>
      </c>
      <c r="AJ5" t="e">
        <f>AND('Weekly Data Sheets'!W38,"AAAAAG39nyM=")</f>
        <v>#VALUE!</v>
      </c>
      <c r="AK5" t="e">
        <f>AND('Weekly Data Sheets'!X38,"AAAAAG39nyQ=")</f>
        <v>#VALUE!</v>
      </c>
      <c r="AL5" t="e">
        <f>AND('Weekly Data Sheets'!Y38,"AAAAAG39nyU=")</f>
        <v>#VALUE!</v>
      </c>
      <c r="AM5" t="e">
        <f>AND('Weekly Data Sheets'!Z38,"AAAAAG39nyY=")</f>
        <v>#VALUE!</v>
      </c>
      <c r="AN5" t="e">
        <f>AND('Weekly Data Sheets'!AA38,"AAAAAG39nyc=")</f>
        <v>#VALUE!</v>
      </c>
      <c r="AO5">
        <f>IF('Weekly Data Sheets'!39:39,"AAAAAG39nyg=",0)</f>
        <v>0</v>
      </c>
      <c r="AP5" t="e">
        <f>AND('Weekly Data Sheets'!A39,"AAAAAG39nyk=")</f>
        <v>#VALUE!</v>
      </c>
      <c r="AQ5" t="e">
        <f>AND('Weekly Data Sheets'!B39,"AAAAAG39nyo=")</f>
        <v>#VALUE!</v>
      </c>
      <c r="AR5" t="e">
        <f>AND('Weekly Data Sheets'!C39,"AAAAAG39nys=")</f>
        <v>#VALUE!</v>
      </c>
      <c r="AS5" t="e">
        <f>AND('Weekly Data Sheets'!D39,"AAAAAG39nyw=")</f>
        <v>#VALUE!</v>
      </c>
      <c r="AT5" t="e">
        <f>AND('Weekly Data Sheets'!E39,"AAAAAG39ny0=")</f>
        <v>#VALUE!</v>
      </c>
      <c r="AU5" t="e">
        <f>AND('Weekly Data Sheets'!F39,"AAAAAG39ny4=")</f>
        <v>#VALUE!</v>
      </c>
      <c r="AV5" t="e">
        <f>AND('Weekly Data Sheets'!G39,"AAAAAG39ny8=")</f>
        <v>#VALUE!</v>
      </c>
      <c r="AW5" t="e">
        <f>AND('Weekly Data Sheets'!H39,"AAAAAG39nzA=")</f>
        <v>#VALUE!</v>
      </c>
      <c r="AX5" t="e">
        <f>AND('Weekly Data Sheets'!I39,"AAAAAG39nzE=")</f>
        <v>#VALUE!</v>
      </c>
      <c r="AY5" t="e">
        <f>AND('Weekly Data Sheets'!J39,"AAAAAG39nzI=")</f>
        <v>#VALUE!</v>
      </c>
      <c r="AZ5" t="e">
        <f>AND('Weekly Data Sheets'!K39,"AAAAAG39nzM=")</f>
        <v>#VALUE!</v>
      </c>
      <c r="BA5" t="e">
        <f>AND('Weekly Data Sheets'!L39,"AAAAAG39nzQ=")</f>
        <v>#VALUE!</v>
      </c>
      <c r="BB5" t="e">
        <f>AND('Weekly Data Sheets'!M39,"AAAAAG39nzU=")</f>
        <v>#VALUE!</v>
      </c>
      <c r="BC5" t="e">
        <f>AND('Weekly Data Sheets'!N39,"AAAAAG39nzY=")</f>
        <v>#VALUE!</v>
      </c>
      <c r="BD5" t="e">
        <f>AND('Weekly Data Sheets'!O39,"AAAAAG39nzc=")</f>
        <v>#VALUE!</v>
      </c>
      <c r="BE5" t="e">
        <f>AND('Weekly Data Sheets'!P39,"AAAAAG39nzg=")</f>
        <v>#VALUE!</v>
      </c>
      <c r="BF5" t="e">
        <f>AND('Weekly Data Sheets'!Q39,"AAAAAG39nzk=")</f>
        <v>#VALUE!</v>
      </c>
      <c r="BG5" t="e">
        <f>AND('Weekly Data Sheets'!R39,"AAAAAG39nzo=")</f>
        <v>#VALUE!</v>
      </c>
      <c r="BH5" t="e">
        <f>AND('Weekly Data Sheets'!S39,"AAAAAG39nzs=")</f>
        <v>#VALUE!</v>
      </c>
      <c r="BI5" t="e">
        <f>AND('Weekly Data Sheets'!T39,"AAAAAG39nzw=")</f>
        <v>#VALUE!</v>
      </c>
      <c r="BJ5" t="e">
        <f>AND('Weekly Data Sheets'!U39,"AAAAAG39nz0=")</f>
        <v>#VALUE!</v>
      </c>
      <c r="BK5" t="e">
        <f>AND('Weekly Data Sheets'!V39,"AAAAAG39nz4=")</f>
        <v>#VALUE!</v>
      </c>
      <c r="BL5" t="e">
        <f>AND('Weekly Data Sheets'!W39,"AAAAAG39nz8=")</f>
        <v>#VALUE!</v>
      </c>
      <c r="BM5" t="e">
        <f>AND('Weekly Data Sheets'!X39,"AAAAAG39n0A=")</f>
        <v>#VALUE!</v>
      </c>
      <c r="BN5" t="e">
        <f>AND('Weekly Data Sheets'!Y39,"AAAAAG39n0E=")</f>
        <v>#VALUE!</v>
      </c>
      <c r="BO5" t="e">
        <f>AND('Weekly Data Sheets'!Z39,"AAAAAG39n0I=")</f>
        <v>#VALUE!</v>
      </c>
      <c r="BP5" t="e">
        <f>AND('Weekly Data Sheets'!AA39,"AAAAAG39n0M=")</f>
        <v>#VALUE!</v>
      </c>
      <c r="BQ5">
        <f>IF('Weekly Data Sheets'!40:40,"AAAAAG39n0Q=",0)</f>
        <v>0</v>
      </c>
      <c r="BR5" t="e">
        <f>AND('Weekly Data Sheets'!A40,"AAAAAG39n0U=")</f>
        <v>#VALUE!</v>
      </c>
      <c r="BS5" t="e">
        <f>AND('Weekly Data Sheets'!B40,"AAAAAG39n0Y=")</f>
        <v>#VALUE!</v>
      </c>
      <c r="BT5" t="e">
        <f>AND('Weekly Data Sheets'!C40,"AAAAAG39n0c=")</f>
        <v>#VALUE!</v>
      </c>
      <c r="BU5" t="e">
        <f>AND('Weekly Data Sheets'!D40,"AAAAAG39n0g=")</f>
        <v>#VALUE!</v>
      </c>
      <c r="BV5" t="e">
        <f>AND('Weekly Data Sheets'!E40,"AAAAAG39n0k=")</f>
        <v>#VALUE!</v>
      </c>
      <c r="BW5" t="e">
        <f>AND('Weekly Data Sheets'!F40,"AAAAAG39n0o=")</f>
        <v>#VALUE!</v>
      </c>
      <c r="BX5" t="e">
        <f>AND('Weekly Data Sheets'!G40,"AAAAAG39n0s=")</f>
        <v>#VALUE!</v>
      </c>
      <c r="BY5" t="e">
        <f>AND('Weekly Data Sheets'!H40,"AAAAAG39n0w=")</f>
        <v>#VALUE!</v>
      </c>
      <c r="BZ5" t="e">
        <f>AND('Weekly Data Sheets'!I40,"AAAAAG39n00=")</f>
        <v>#VALUE!</v>
      </c>
      <c r="CA5" t="e">
        <f>AND('Weekly Data Sheets'!J40,"AAAAAG39n04=")</f>
        <v>#VALUE!</v>
      </c>
      <c r="CB5" t="e">
        <f>AND('Weekly Data Sheets'!K40,"AAAAAG39n08=")</f>
        <v>#VALUE!</v>
      </c>
      <c r="CC5" t="e">
        <f>AND('Weekly Data Sheets'!L40,"AAAAAG39n1A=")</f>
        <v>#VALUE!</v>
      </c>
      <c r="CD5" t="e">
        <f>AND('Weekly Data Sheets'!M40,"AAAAAG39n1E=")</f>
        <v>#VALUE!</v>
      </c>
      <c r="CE5" t="e">
        <f>AND('Weekly Data Sheets'!N40,"AAAAAG39n1I=")</f>
        <v>#VALUE!</v>
      </c>
      <c r="CF5" t="e">
        <f>AND('Weekly Data Sheets'!O40,"AAAAAG39n1M=")</f>
        <v>#VALUE!</v>
      </c>
      <c r="CG5" t="e">
        <f>AND('Weekly Data Sheets'!P40,"AAAAAG39n1Q=")</f>
        <v>#VALUE!</v>
      </c>
      <c r="CH5" t="e">
        <f>AND('Weekly Data Sheets'!Q40,"AAAAAG39n1U=")</f>
        <v>#VALUE!</v>
      </c>
      <c r="CI5" t="e">
        <f>AND('Weekly Data Sheets'!R40,"AAAAAG39n1Y=")</f>
        <v>#VALUE!</v>
      </c>
      <c r="CJ5" t="e">
        <f>AND('Weekly Data Sheets'!S40,"AAAAAG39n1c=")</f>
        <v>#VALUE!</v>
      </c>
      <c r="CK5" t="e">
        <f>AND('Weekly Data Sheets'!T40,"AAAAAG39n1g=")</f>
        <v>#VALUE!</v>
      </c>
      <c r="CL5" t="e">
        <f>AND('Weekly Data Sheets'!U40,"AAAAAG39n1k=")</f>
        <v>#VALUE!</v>
      </c>
      <c r="CM5" t="e">
        <f>AND('Weekly Data Sheets'!V40,"AAAAAG39n1o=")</f>
        <v>#VALUE!</v>
      </c>
      <c r="CN5" t="e">
        <f>AND('Weekly Data Sheets'!W40,"AAAAAG39n1s=")</f>
        <v>#VALUE!</v>
      </c>
      <c r="CO5" t="e">
        <f>AND('Weekly Data Sheets'!X40,"AAAAAG39n1w=")</f>
        <v>#VALUE!</v>
      </c>
      <c r="CP5" t="e">
        <f>AND('Weekly Data Sheets'!Y40,"AAAAAG39n10=")</f>
        <v>#VALUE!</v>
      </c>
      <c r="CQ5" t="e">
        <f>AND('Weekly Data Sheets'!Z40,"AAAAAG39n14=")</f>
        <v>#VALUE!</v>
      </c>
      <c r="CR5" t="e">
        <f>AND('Weekly Data Sheets'!AA40,"AAAAAG39n18=")</f>
        <v>#VALUE!</v>
      </c>
      <c r="CS5">
        <f>IF('Weekly Data Sheets'!41:41,"AAAAAG39n2A=",0)</f>
        <v>0</v>
      </c>
      <c r="CT5" t="e">
        <f>AND('Weekly Data Sheets'!A41,"AAAAAG39n2E=")</f>
        <v>#VALUE!</v>
      </c>
      <c r="CU5" t="e">
        <f>AND('Weekly Data Sheets'!B41,"AAAAAG39n2I=")</f>
        <v>#VALUE!</v>
      </c>
      <c r="CV5" t="e">
        <f>AND('Weekly Data Sheets'!C41,"AAAAAG39n2M=")</f>
        <v>#VALUE!</v>
      </c>
      <c r="CW5" t="e">
        <f>AND('Weekly Data Sheets'!D41,"AAAAAG39n2Q=")</f>
        <v>#VALUE!</v>
      </c>
      <c r="CX5" t="e">
        <f>AND('Weekly Data Sheets'!E41,"AAAAAG39n2U=")</f>
        <v>#VALUE!</v>
      </c>
      <c r="CY5" t="e">
        <f>AND('Weekly Data Sheets'!F41,"AAAAAG39n2Y=")</f>
        <v>#VALUE!</v>
      </c>
      <c r="CZ5" t="e">
        <f>AND('Weekly Data Sheets'!G41,"AAAAAG39n2c=")</f>
        <v>#VALUE!</v>
      </c>
      <c r="DA5" t="e">
        <f>AND('Weekly Data Sheets'!H41,"AAAAAG39n2g=")</f>
        <v>#VALUE!</v>
      </c>
      <c r="DB5" t="e">
        <f>AND('Weekly Data Sheets'!I41,"AAAAAG39n2k=")</f>
        <v>#VALUE!</v>
      </c>
      <c r="DC5" t="e">
        <f>AND('Weekly Data Sheets'!J41,"AAAAAG39n2o=")</f>
        <v>#VALUE!</v>
      </c>
      <c r="DD5" t="e">
        <f>AND('Weekly Data Sheets'!K41,"AAAAAG39n2s=")</f>
        <v>#VALUE!</v>
      </c>
      <c r="DE5" t="e">
        <f>AND('Weekly Data Sheets'!L41,"AAAAAG39n2w=")</f>
        <v>#VALUE!</v>
      </c>
      <c r="DF5" t="e">
        <f>AND('Weekly Data Sheets'!M41,"AAAAAG39n20=")</f>
        <v>#VALUE!</v>
      </c>
      <c r="DG5" t="e">
        <f>AND('Weekly Data Sheets'!N41,"AAAAAG39n24=")</f>
        <v>#VALUE!</v>
      </c>
      <c r="DH5" t="e">
        <f>AND('Weekly Data Sheets'!O41,"AAAAAG39n28=")</f>
        <v>#VALUE!</v>
      </c>
      <c r="DI5" t="e">
        <f>AND('Weekly Data Sheets'!P41,"AAAAAG39n3A=")</f>
        <v>#VALUE!</v>
      </c>
      <c r="DJ5" t="e">
        <f>AND('Weekly Data Sheets'!Q41,"AAAAAG39n3E=")</f>
        <v>#VALUE!</v>
      </c>
      <c r="DK5" t="e">
        <f>AND('Weekly Data Sheets'!R41,"AAAAAG39n3I=")</f>
        <v>#VALUE!</v>
      </c>
      <c r="DL5" t="e">
        <f>AND('Weekly Data Sheets'!S41,"AAAAAG39n3M=")</f>
        <v>#VALUE!</v>
      </c>
      <c r="DM5" t="e">
        <f>AND('Weekly Data Sheets'!T41,"AAAAAG39n3Q=")</f>
        <v>#VALUE!</v>
      </c>
      <c r="DN5" t="e">
        <f>AND('Weekly Data Sheets'!U41,"AAAAAG39n3U=")</f>
        <v>#VALUE!</v>
      </c>
      <c r="DO5" t="e">
        <f>AND('Weekly Data Sheets'!V41,"AAAAAG39n3Y=")</f>
        <v>#VALUE!</v>
      </c>
      <c r="DP5" t="e">
        <f>AND('Weekly Data Sheets'!W41,"AAAAAG39n3c=")</f>
        <v>#VALUE!</v>
      </c>
      <c r="DQ5" t="e">
        <f>AND('Weekly Data Sheets'!X41,"AAAAAG39n3g=")</f>
        <v>#VALUE!</v>
      </c>
      <c r="DR5" t="e">
        <f>AND('Weekly Data Sheets'!Y41,"AAAAAG39n3k=")</f>
        <v>#VALUE!</v>
      </c>
      <c r="DS5" t="e">
        <f>AND('Weekly Data Sheets'!Z41,"AAAAAG39n3o=")</f>
        <v>#VALUE!</v>
      </c>
      <c r="DT5" t="e">
        <f>AND('Weekly Data Sheets'!AA41,"AAAAAG39n3s=")</f>
        <v>#VALUE!</v>
      </c>
      <c r="DU5">
        <f>IF('Weekly Data Sheets'!42:42,"AAAAAG39n3w=",0)</f>
        <v>0</v>
      </c>
      <c r="DV5" t="e">
        <f>AND('Weekly Data Sheets'!A42,"AAAAAG39n30=")</f>
        <v>#VALUE!</v>
      </c>
      <c r="DW5" t="e">
        <f>AND('Weekly Data Sheets'!B42,"AAAAAG39n34=")</f>
        <v>#VALUE!</v>
      </c>
      <c r="DX5" t="e">
        <f>AND('Weekly Data Sheets'!C42,"AAAAAG39n38=")</f>
        <v>#VALUE!</v>
      </c>
      <c r="DY5" t="e">
        <f>AND('Weekly Data Sheets'!D42,"AAAAAG39n4A=")</f>
        <v>#VALUE!</v>
      </c>
      <c r="DZ5" t="e">
        <f>AND('Weekly Data Sheets'!E42,"AAAAAG39n4E=")</f>
        <v>#VALUE!</v>
      </c>
      <c r="EA5" t="e">
        <f>AND('Weekly Data Sheets'!F42,"AAAAAG39n4I=")</f>
        <v>#VALUE!</v>
      </c>
      <c r="EB5" t="e">
        <f>AND('Weekly Data Sheets'!G42,"AAAAAG39n4M=")</f>
        <v>#VALUE!</v>
      </c>
      <c r="EC5" t="e">
        <f>AND('Weekly Data Sheets'!H42,"AAAAAG39n4Q=")</f>
        <v>#VALUE!</v>
      </c>
      <c r="ED5" t="e">
        <f>AND('Weekly Data Sheets'!I42,"AAAAAG39n4U=")</f>
        <v>#VALUE!</v>
      </c>
      <c r="EE5" t="e">
        <f>AND('Weekly Data Sheets'!J42,"AAAAAG39n4Y=")</f>
        <v>#VALUE!</v>
      </c>
      <c r="EF5" t="e">
        <f>AND('Weekly Data Sheets'!K42,"AAAAAG39n4c=")</f>
        <v>#VALUE!</v>
      </c>
      <c r="EG5" t="e">
        <f>AND('Weekly Data Sheets'!L42,"AAAAAG39n4g=")</f>
        <v>#VALUE!</v>
      </c>
      <c r="EH5" t="e">
        <f>AND('Weekly Data Sheets'!M42,"AAAAAG39n4k=")</f>
        <v>#VALUE!</v>
      </c>
      <c r="EI5" t="e">
        <f>AND('Weekly Data Sheets'!N42,"AAAAAG39n4o=")</f>
        <v>#VALUE!</v>
      </c>
      <c r="EJ5" t="e">
        <f>AND('Weekly Data Sheets'!O42,"AAAAAG39n4s=")</f>
        <v>#VALUE!</v>
      </c>
      <c r="EK5" t="e">
        <f>AND('Weekly Data Sheets'!P42,"AAAAAG39n4w=")</f>
        <v>#VALUE!</v>
      </c>
      <c r="EL5" t="e">
        <f>AND('Weekly Data Sheets'!Q42,"AAAAAG39n40=")</f>
        <v>#VALUE!</v>
      </c>
      <c r="EM5" t="e">
        <f>AND('Weekly Data Sheets'!R42,"AAAAAG39n44=")</f>
        <v>#VALUE!</v>
      </c>
      <c r="EN5" t="e">
        <f>AND('Weekly Data Sheets'!S42,"AAAAAG39n48=")</f>
        <v>#VALUE!</v>
      </c>
      <c r="EO5" t="e">
        <f>AND('Weekly Data Sheets'!T42,"AAAAAG39n5A=")</f>
        <v>#VALUE!</v>
      </c>
      <c r="EP5" t="e">
        <f>AND('Weekly Data Sheets'!U42,"AAAAAG39n5E=")</f>
        <v>#VALUE!</v>
      </c>
      <c r="EQ5" t="e">
        <f>AND('Weekly Data Sheets'!V42,"AAAAAG39n5I=")</f>
        <v>#VALUE!</v>
      </c>
      <c r="ER5" t="e">
        <f>AND('Weekly Data Sheets'!W42,"AAAAAG39n5M=")</f>
        <v>#VALUE!</v>
      </c>
      <c r="ES5" t="e">
        <f>AND('Weekly Data Sheets'!X42,"AAAAAG39n5Q=")</f>
        <v>#VALUE!</v>
      </c>
      <c r="ET5" t="e">
        <f>AND('Weekly Data Sheets'!Y42,"AAAAAG39n5U=")</f>
        <v>#VALUE!</v>
      </c>
      <c r="EU5" t="e">
        <f>AND('Weekly Data Sheets'!Z42,"AAAAAG39n5Y=")</f>
        <v>#VALUE!</v>
      </c>
      <c r="EV5" t="e">
        <f>AND('Weekly Data Sheets'!AA42,"AAAAAG39n5c=")</f>
        <v>#VALUE!</v>
      </c>
      <c r="EW5">
        <f>IF('Weekly Data Sheets'!45:45,"AAAAAG39n5g=",0)</f>
        <v>0</v>
      </c>
      <c r="EX5" t="e">
        <f>AND('Weekly Data Sheets'!A45,"AAAAAG39n5k=")</f>
        <v>#VALUE!</v>
      </c>
      <c r="EY5" t="e">
        <f>AND('Weekly Data Sheets'!B45,"AAAAAG39n5o=")</f>
        <v>#VALUE!</v>
      </c>
      <c r="EZ5" t="e">
        <f>AND('Weekly Data Sheets'!C45,"AAAAAG39n5s=")</f>
        <v>#VALUE!</v>
      </c>
      <c r="FA5" t="e">
        <f>AND('Weekly Data Sheets'!D45,"AAAAAG39n5w=")</f>
        <v>#VALUE!</v>
      </c>
      <c r="FB5" t="e">
        <f>AND('Weekly Data Sheets'!E45,"AAAAAG39n50=")</f>
        <v>#VALUE!</v>
      </c>
      <c r="FC5" t="e">
        <f>AND('Weekly Data Sheets'!F45,"AAAAAG39n54=")</f>
        <v>#VALUE!</v>
      </c>
      <c r="FD5" t="e">
        <f>AND('Weekly Data Sheets'!G45,"AAAAAG39n58=")</f>
        <v>#VALUE!</v>
      </c>
      <c r="FE5" t="e">
        <f>AND('Weekly Data Sheets'!H45,"AAAAAG39n6A=")</f>
        <v>#VALUE!</v>
      </c>
      <c r="FF5" t="e">
        <f>AND('Weekly Data Sheets'!I45,"AAAAAG39n6E=")</f>
        <v>#VALUE!</v>
      </c>
      <c r="FG5" t="e">
        <f>AND('Weekly Data Sheets'!J45,"AAAAAG39n6I=")</f>
        <v>#VALUE!</v>
      </c>
      <c r="FH5" t="e">
        <f>AND('Weekly Data Sheets'!K45,"AAAAAG39n6M=")</f>
        <v>#VALUE!</v>
      </c>
      <c r="FI5" t="e">
        <f>AND('Weekly Data Sheets'!L45,"AAAAAG39n6Q=")</f>
        <v>#VALUE!</v>
      </c>
      <c r="FJ5" t="e">
        <f>AND('Weekly Data Sheets'!M45,"AAAAAG39n6U=")</f>
        <v>#VALUE!</v>
      </c>
      <c r="FK5" t="e">
        <f>AND('Weekly Data Sheets'!N45,"AAAAAG39n6Y=")</f>
        <v>#VALUE!</v>
      </c>
      <c r="FL5" t="e">
        <f>AND('Weekly Data Sheets'!O45,"AAAAAG39n6c=")</f>
        <v>#VALUE!</v>
      </c>
      <c r="FM5" t="e">
        <f>AND('Weekly Data Sheets'!P45,"AAAAAG39n6g=")</f>
        <v>#VALUE!</v>
      </c>
      <c r="FN5" t="e">
        <f>AND('Weekly Data Sheets'!Q45,"AAAAAG39n6k=")</f>
        <v>#VALUE!</v>
      </c>
      <c r="FO5" t="e">
        <f>AND('Weekly Data Sheets'!R45,"AAAAAG39n6o=")</f>
        <v>#VALUE!</v>
      </c>
      <c r="FP5" t="e">
        <f>AND('Weekly Data Sheets'!S45,"AAAAAG39n6s=")</f>
        <v>#VALUE!</v>
      </c>
      <c r="FQ5" t="e">
        <f>AND('Weekly Data Sheets'!T45,"AAAAAG39n6w=")</f>
        <v>#VALUE!</v>
      </c>
      <c r="FR5" t="e">
        <f>AND('Weekly Data Sheets'!U45,"AAAAAG39n60=")</f>
        <v>#VALUE!</v>
      </c>
      <c r="FS5" t="e">
        <f>AND('Weekly Data Sheets'!V45,"AAAAAG39n64=")</f>
        <v>#VALUE!</v>
      </c>
      <c r="FT5" t="e">
        <f>AND('Weekly Data Sheets'!W45,"AAAAAG39n68=")</f>
        <v>#VALUE!</v>
      </c>
      <c r="FU5" t="e">
        <f>AND('Weekly Data Sheets'!X45,"AAAAAG39n7A=")</f>
        <v>#VALUE!</v>
      </c>
      <c r="FV5" t="e">
        <f>AND('Weekly Data Sheets'!Y45,"AAAAAG39n7E=")</f>
        <v>#VALUE!</v>
      </c>
      <c r="FW5" t="e">
        <f>AND('Weekly Data Sheets'!Z45,"AAAAAG39n7I=")</f>
        <v>#VALUE!</v>
      </c>
      <c r="FX5" t="e">
        <f>AND('Weekly Data Sheets'!AA45,"AAAAAG39n7M=")</f>
        <v>#VALUE!</v>
      </c>
      <c r="FY5">
        <f>IF('Weekly Data Sheets'!46:46,"AAAAAG39n7Q=",0)</f>
        <v>0</v>
      </c>
      <c r="FZ5" t="e">
        <f>AND('Weekly Data Sheets'!A46,"AAAAAG39n7U=")</f>
        <v>#VALUE!</v>
      </c>
      <c r="GA5" t="e">
        <f>AND('Weekly Data Sheets'!B46,"AAAAAG39n7Y=")</f>
        <v>#VALUE!</v>
      </c>
      <c r="GB5" t="e">
        <f>AND('Weekly Data Sheets'!C46,"AAAAAG39n7c=")</f>
        <v>#VALUE!</v>
      </c>
      <c r="GC5" t="e">
        <f>AND('Weekly Data Sheets'!D46,"AAAAAG39n7g=")</f>
        <v>#VALUE!</v>
      </c>
      <c r="GD5" t="e">
        <f>AND('Weekly Data Sheets'!E46,"AAAAAG39n7k=")</f>
        <v>#VALUE!</v>
      </c>
      <c r="GE5" t="e">
        <f>AND('Weekly Data Sheets'!F46,"AAAAAG39n7o=")</f>
        <v>#VALUE!</v>
      </c>
      <c r="GF5" t="e">
        <f>AND('Weekly Data Sheets'!G46,"AAAAAG39n7s=")</f>
        <v>#VALUE!</v>
      </c>
      <c r="GG5" t="e">
        <f>AND('Weekly Data Sheets'!H46,"AAAAAG39n7w=")</f>
        <v>#VALUE!</v>
      </c>
      <c r="GH5" t="e">
        <f>AND('Weekly Data Sheets'!I46,"AAAAAG39n70=")</f>
        <v>#VALUE!</v>
      </c>
      <c r="GI5" t="e">
        <f>AND('Weekly Data Sheets'!J46,"AAAAAG39n74=")</f>
        <v>#VALUE!</v>
      </c>
      <c r="GJ5" t="e">
        <f>AND('Weekly Data Sheets'!K46,"AAAAAG39n78=")</f>
        <v>#VALUE!</v>
      </c>
      <c r="GK5" t="e">
        <f>AND('Weekly Data Sheets'!L46,"AAAAAG39n8A=")</f>
        <v>#VALUE!</v>
      </c>
      <c r="GL5" t="e">
        <f>AND('Weekly Data Sheets'!M46,"AAAAAG39n8E=")</f>
        <v>#VALUE!</v>
      </c>
      <c r="GM5" t="e">
        <f>AND('Weekly Data Sheets'!N46,"AAAAAG39n8I=")</f>
        <v>#VALUE!</v>
      </c>
      <c r="GN5" t="e">
        <f>AND('Weekly Data Sheets'!O46,"AAAAAG39n8M=")</f>
        <v>#VALUE!</v>
      </c>
      <c r="GO5" t="e">
        <f>AND('Weekly Data Sheets'!P46,"AAAAAG39n8Q=")</f>
        <v>#VALUE!</v>
      </c>
      <c r="GP5" t="e">
        <f>AND('Weekly Data Sheets'!Q46,"AAAAAG39n8U=")</f>
        <v>#VALUE!</v>
      </c>
      <c r="GQ5" t="e">
        <f>AND('Weekly Data Sheets'!R46,"AAAAAG39n8Y=")</f>
        <v>#VALUE!</v>
      </c>
      <c r="GR5" t="e">
        <f>AND('Weekly Data Sheets'!S46,"AAAAAG39n8c=")</f>
        <v>#VALUE!</v>
      </c>
      <c r="GS5" t="e">
        <f>AND('Weekly Data Sheets'!T46,"AAAAAG39n8g=")</f>
        <v>#VALUE!</v>
      </c>
      <c r="GT5" t="e">
        <f>AND('Weekly Data Sheets'!U46,"AAAAAG39n8k=")</f>
        <v>#VALUE!</v>
      </c>
      <c r="GU5" t="e">
        <f>AND('Weekly Data Sheets'!V46,"AAAAAG39n8o=")</f>
        <v>#VALUE!</v>
      </c>
      <c r="GV5" t="e">
        <f>AND('Weekly Data Sheets'!W46,"AAAAAG39n8s=")</f>
        <v>#VALUE!</v>
      </c>
      <c r="GW5" t="e">
        <f>AND('Weekly Data Sheets'!X46,"AAAAAG39n8w=")</f>
        <v>#VALUE!</v>
      </c>
      <c r="GX5" t="e">
        <f>AND('Weekly Data Sheets'!Y46,"AAAAAG39n80=")</f>
        <v>#VALUE!</v>
      </c>
      <c r="GY5" t="e">
        <f>AND('Weekly Data Sheets'!Z46,"AAAAAG39n84=")</f>
        <v>#VALUE!</v>
      </c>
      <c r="GZ5" t="e">
        <f>AND('Weekly Data Sheets'!AA46,"AAAAAG39n88=")</f>
        <v>#VALUE!</v>
      </c>
      <c r="HA5">
        <f>IF('Weekly Data Sheets'!47:47,"AAAAAG39n9A=",0)</f>
        <v>0</v>
      </c>
      <c r="HB5" t="e">
        <f>AND('Weekly Data Sheets'!A47,"AAAAAG39n9E=")</f>
        <v>#VALUE!</v>
      </c>
      <c r="HC5" t="e">
        <f>AND('Weekly Data Sheets'!B47,"AAAAAG39n9I=")</f>
        <v>#VALUE!</v>
      </c>
      <c r="HD5" t="e">
        <f>AND('Weekly Data Sheets'!C47,"AAAAAG39n9M=")</f>
        <v>#VALUE!</v>
      </c>
      <c r="HE5" t="e">
        <f>AND('Weekly Data Sheets'!D47,"AAAAAG39n9Q=")</f>
        <v>#VALUE!</v>
      </c>
      <c r="HF5" t="e">
        <f>AND('Weekly Data Sheets'!E47,"AAAAAG39n9U=")</f>
        <v>#VALUE!</v>
      </c>
      <c r="HG5" t="e">
        <f>AND('Weekly Data Sheets'!F47,"AAAAAG39n9Y=")</f>
        <v>#VALUE!</v>
      </c>
      <c r="HH5" t="e">
        <f>AND('Weekly Data Sheets'!G47,"AAAAAG39n9c=")</f>
        <v>#VALUE!</v>
      </c>
      <c r="HI5" t="e">
        <f>AND('Weekly Data Sheets'!H47,"AAAAAG39n9g=")</f>
        <v>#VALUE!</v>
      </c>
      <c r="HJ5" t="e">
        <f>AND('Weekly Data Sheets'!I47,"AAAAAG39n9k=")</f>
        <v>#VALUE!</v>
      </c>
      <c r="HK5" t="e">
        <f>AND('Weekly Data Sheets'!J47,"AAAAAG39n9o=")</f>
        <v>#VALUE!</v>
      </c>
      <c r="HL5" t="e">
        <f>AND('Weekly Data Sheets'!K47,"AAAAAG39n9s=")</f>
        <v>#VALUE!</v>
      </c>
      <c r="HM5" t="e">
        <f>AND('Weekly Data Sheets'!L47,"AAAAAG39n9w=")</f>
        <v>#VALUE!</v>
      </c>
      <c r="HN5" t="e">
        <f>AND('Weekly Data Sheets'!M47,"AAAAAG39n90=")</f>
        <v>#VALUE!</v>
      </c>
      <c r="HO5" t="e">
        <f>AND('Weekly Data Sheets'!N47,"AAAAAG39n94=")</f>
        <v>#VALUE!</v>
      </c>
      <c r="HP5" t="e">
        <f>AND('Weekly Data Sheets'!O47,"AAAAAG39n98=")</f>
        <v>#VALUE!</v>
      </c>
      <c r="HQ5" t="e">
        <f>AND('Weekly Data Sheets'!P47,"AAAAAG39n+A=")</f>
        <v>#VALUE!</v>
      </c>
      <c r="HR5" t="e">
        <f>AND('Weekly Data Sheets'!Q47,"AAAAAG39n+E=")</f>
        <v>#VALUE!</v>
      </c>
      <c r="HS5" t="e">
        <f>AND('Weekly Data Sheets'!R47,"AAAAAG39n+I=")</f>
        <v>#VALUE!</v>
      </c>
      <c r="HT5" t="e">
        <f>AND('Weekly Data Sheets'!S47,"AAAAAG39n+M=")</f>
        <v>#VALUE!</v>
      </c>
      <c r="HU5" t="e">
        <f>AND('Weekly Data Sheets'!T47,"AAAAAG39n+Q=")</f>
        <v>#VALUE!</v>
      </c>
      <c r="HV5" t="e">
        <f>AND('Weekly Data Sheets'!U47,"AAAAAG39n+U=")</f>
        <v>#VALUE!</v>
      </c>
      <c r="HW5" t="e">
        <f>AND('Weekly Data Sheets'!V47,"AAAAAG39n+Y=")</f>
        <v>#VALUE!</v>
      </c>
      <c r="HX5" t="e">
        <f>AND('Weekly Data Sheets'!W47,"AAAAAG39n+c=")</f>
        <v>#VALUE!</v>
      </c>
      <c r="HY5" t="e">
        <f>AND('Weekly Data Sheets'!X47,"AAAAAG39n+g=")</f>
        <v>#VALUE!</v>
      </c>
      <c r="HZ5" t="e">
        <f>AND('Weekly Data Sheets'!Y47,"AAAAAG39n+k=")</f>
        <v>#VALUE!</v>
      </c>
      <c r="IA5" t="e">
        <f>AND('Weekly Data Sheets'!Z47,"AAAAAG39n+o=")</f>
        <v>#VALUE!</v>
      </c>
      <c r="IB5" t="e">
        <f>AND('Weekly Data Sheets'!AA47,"AAAAAG39n+s=")</f>
        <v>#VALUE!</v>
      </c>
      <c r="IC5">
        <f>IF('Weekly Data Sheets'!48:48,"AAAAAG39n+w=",0)</f>
        <v>0</v>
      </c>
      <c r="ID5" t="e">
        <f>AND('Weekly Data Sheets'!A48,"AAAAAG39n+0=")</f>
        <v>#VALUE!</v>
      </c>
      <c r="IE5" t="e">
        <f>AND('Weekly Data Sheets'!B48,"AAAAAG39n+4=")</f>
        <v>#VALUE!</v>
      </c>
      <c r="IF5" t="e">
        <f>AND('Weekly Data Sheets'!C48,"AAAAAG39n+8=")</f>
        <v>#VALUE!</v>
      </c>
      <c r="IG5" t="e">
        <f>AND('Weekly Data Sheets'!D48,"AAAAAG39n/A=")</f>
        <v>#VALUE!</v>
      </c>
      <c r="IH5" t="e">
        <f>AND('Weekly Data Sheets'!E48,"AAAAAG39n/E=")</f>
        <v>#VALUE!</v>
      </c>
      <c r="II5" t="e">
        <f>AND('Weekly Data Sheets'!F48,"AAAAAG39n/I=")</f>
        <v>#VALUE!</v>
      </c>
      <c r="IJ5" t="e">
        <f>AND('Weekly Data Sheets'!G48,"AAAAAG39n/M=")</f>
        <v>#VALUE!</v>
      </c>
      <c r="IK5" t="e">
        <f>AND('Weekly Data Sheets'!H48,"AAAAAG39n/Q=")</f>
        <v>#VALUE!</v>
      </c>
      <c r="IL5" t="e">
        <f>AND('Weekly Data Sheets'!I48,"AAAAAG39n/U=")</f>
        <v>#VALUE!</v>
      </c>
      <c r="IM5" t="e">
        <f>AND('Weekly Data Sheets'!J48,"AAAAAG39n/Y=")</f>
        <v>#VALUE!</v>
      </c>
      <c r="IN5" t="e">
        <f>AND('Weekly Data Sheets'!K48,"AAAAAG39n/c=")</f>
        <v>#VALUE!</v>
      </c>
      <c r="IO5" t="e">
        <f>AND('Weekly Data Sheets'!L48,"AAAAAG39n/g=")</f>
        <v>#VALUE!</v>
      </c>
      <c r="IP5" t="e">
        <f>AND('Weekly Data Sheets'!M48,"AAAAAG39n/k=")</f>
        <v>#VALUE!</v>
      </c>
      <c r="IQ5" t="e">
        <f>AND('Weekly Data Sheets'!N48,"AAAAAG39n/o=")</f>
        <v>#VALUE!</v>
      </c>
      <c r="IR5" t="e">
        <f>AND('Weekly Data Sheets'!O48,"AAAAAG39n/s=")</f>
        <v>#VALUE!</v>
      </c>
      <c r="IS5" t="e">
        <f>AND('Weekly Data Sheets'!P48,"AAAAAG39n/w=")</f>
        <v>#VALUE!</v>
      </c>
      <c r="IT5" t="e">
        <f>AND('Weekly Data Sheets'!Q48,"AAAAAG39n/0=")</f>
        <v>#VALUE!</v>
      </c>
      <c r="IU5" t="e">
        <f>AND('Weekly Data Sheets'!R48,"AAAAAG39n/4=")</f>
        <v>#VALUE!</v>
      </c>
      <c r="IV5" t="e">
        <f>AND('Weekly Data Sheets'!S48,"AAAAAG39n/8=")</f>
        <v>#VALUE!</v>
      </c>
    </row>
    <row r="6" spans="1:233" ht="12.75">
      <c r="A6" t="e">
        <f>AND('Weekly Data Sheets'!T48,"AAAAAGO+fgA=")</f>
        <v>#VALUE!</v>
      </c>
      <c r="B6" t="e">
        <f>AND('Weekly Data Sheets'!U48,"AAAAAGO+fgE=")</f>
        <v>#VALUE!</v>
      </c>
      <c r="C6" t="e">
        <f>AND('Weekly Data Sheets'!V48,"AAAAAGO+fgI=")</f>
        <v>#VALUE!</v>
      </c>
      <c r="D6" t="e">
        <f>AND('Weekly Data Sheets'!W48,"AAAAAGO+fgM=")</f>
        <v>#VALUE!</v>
      </c>
      <c r="E6" t="e">
        <f>AND('Weekly Data Sheets'!X48,"AAAAAGO+fgQ=")</f>
        <v>#VALUE!</v>
      </c>
      <c r="F6" t="e">
        <f>AND('Weekly Data Sheets'!Y48,"AAAAAGO+fgU=")</f>
        <v>#VALUE!</v>
      </c>
      <c r="G6" t="e">
        <f>AND('Weekly Data Sheets'!Z48,"AAAAAGO+fgY=")</f>
        <v>#VALUE!</v>
      </c>
      <c r="H6" t="e">
        <f>AND('Weekly Data Sheets'!AA48,"AAAAAGO+fgc=")</f>
        <v>#VALUE!</v>
      </c>
      <c r="I6">
        <f>IF('Weekly Data Sheets'!49:49,"AAAAAGO+fgg=",0)</f>
        <v>0</v>
      </c>
      <c r="J6" t="e">
        <f>AND('Weekly Data Sheets'!A49,"AAAAAGO+fgk=")</f>
        <v>#VALUE!</v>
      </c>
      <c r="K6" t="e">
        <f>AND('Weekly Data Sheets'!B49,"AAAAAGO+fgo=")</f>
        <v>#VALUE!</v>
      </c>
      <c r="L6" t="e">
        <f>AND('Weekly Data Sheets'!C49,"AAAAAGO+fgs=")</f>
        <v>#VALUE!</v>
      </c>
      <c r="M6" t="e">
        <f>AND('Weekly Data Sheets'!D49,"AAAAAGO+fgw=")</f>
        <v>#VALUE!</v>
      </c>
      <c r="N6" t="e">
        <f>AND('Weekly Data Sheets'!E49,"AAAAAGO+fg0=")</f>
        <v>#VALUE!</v>
      </c>
      <c r="O6" t="e">
        <f>AND('Weekly Data Sheets'!F49,"AAAAAGO+fg4=")</f>
        <v>#VALUE!</v>
      </c>
      <c r="P6" t="e">
        <f>AND('Weekly Data Sheets'!G49,"AAAAAGO+fg8=")</f>
        <v>#VALUE!</v>
      </c>
      <c r="Q6" t="e">
        <f>AND('Weekly Data Sheets'!H49,"AAAAAGO+fhA=")</f>
        <v>#VALUE!</v>
      </c>
      <c r="R6" t="e">
        <f>AND('Weekly Data Sheets'!I49,"AAAAAGO+fhE=")</f>
        <v>#VALUE!</v>
      </c>
      <c r="S6" t="e">
        <f>AND('Weekly Data Sheets'!J49,"AAAAAGO+fhI=")</f>
        <v>#VALUE!</v>
      </c>
      <c r="T6" t="e">
        <f>AND('Weekly Data Sheets'!K49,"AAAAAGO+fhM=")</f>
        <v>#VALUE!</v>
      </c>
      <c r="U6" t="e">
        <f>AND('Weekly Data Sheets'!L49,"AAAAAGO+fhQ=")</f>
        <v>#VALUE!</v>
      </c>
      <c r="V6" t="e">
        <f>AND('Weekly Data Sheets'!M49,"AAAAAGO+fhU=")</f>
        <v>#VALUE!</v>
      </c>
      <c r="W6" t="e">
        <f>AND('Weekly Data Sheets'!N49,"AAAAAGO+fhY=")</f>
        <v>#VALUE!</v>
      </c>
      <c r="X6" t="e">
        <f>AND('Weekly Data Sheets'!O49,"AAAAAGO+fhc=")</f>
        <v>#VALUE!</v>
      </c>
      <c r="Y6" t="e">
        <f>AND('Weekly Data Sheets'!P49,"AAAAAGO+fhg=")</f>
        <v>#VALUE!</v>
      </c>
      <c r="Z6" t="e">
        <f>AND('Weekly Data Sheets'!Q49,"AAAAAGO+fhk=")</f>
        <v>#VALUE!</v>
      </c>
      <c r="AA6" t="e">
        <f>AND('Weekly Data Sheets'!R49,"AAAAAGO+fho=")</f>
        <v>#VALUE!</v>
      </c>
      <c r="AB6" t="e">
        <f>AND('Weekly Data Sheets'!S49,"AAAAAGO+fhs=")</f>
        <v>#VALUE!</v>
      </c>
      <c r="AC6" t="e">
        <f>AND('Weekly Data Sheets'!T49,"AAAAAGO+fhw=")</f>
        <v>#VALUE!</v>
      </c>
      <c r="AD6" t="e">
        <f>AND('Weekly Data Sheets'!U49,"AAAAAGO+fh0=")</f>
        <v>#VALUE!</v>
      </c>
      <c r="AE6" t="e">
        <f>AND('Weekly Data Sheets'!V49,"AAAAAGO+fh4=")</f>
        <v>#VALUE!</v>
      </c>
      <c r="AF6" t="e">
        <f>AND('Weekly Data Sheets'!W49,"AAAAAGO+fh8=")</f>
        <v>#VALUE!</v>
      </c>
      <c r="AG6" t="e">
        <f>AND('Weekly Data Sheets'!X49,"AAAAAGO+fiA=")</f>
        <v>#VALUE!</v>
      </c>
      <c r="AH6" t="e">
        <f>AND('Weekly Data Sheets'!Y49,"AAAAAGO+fiE=")</f>
        <v>#VALUE!</v>
      </c>
      <c r="AI6" t="e">
        <f>AND('Weekly Data Sheets'!Z49,"AAAAAGO+fiI=")</f>
        <v>#VALUE!</v>
      </c>
      <c r="AJ6" t="e">
        <f>AND('Weekly Data Sheets'!AA49,"AAAAAGO+fiM=")</f>
        <v>#VALUE!</v>
      </c>
      <c r="AK6">
        <f>IF('Weekly Data Sheets'!50:50,"AAAAAGO+fiQ=",0)</f>
        <v>0</v>
      </c>
      <c r="AL6" t="e">
        <f>AND('Weekly Data Sheets'!A50,"AAAAAGO+fiU=")</f>
        <v>#VALUE!</v>
      </c>
      <c r="AM6" t="e">
        <f>AND('Weekly Data Sheets'!B50,"AAAAAGO+fiY=")</f>
        <v>#VALUE!</v>
      </c>
      <c r="AN6" t="e">
        <f>AND('Weekly Data Sheets'!C50,"AAAAAGO+fic=")</f>
        <v>#VALUE!</v>
      </c>
      <c r="AO6" t="e">
        <f>AND('Weekly Data Sheets'!D50,"AAAAAGO+fig=")</f>
        <v>#VALUE!</v>
      </c>
      <c r="AP6" t="e">
        <f>AND('Weekly Data Sheets'!E50,"AAAAAGO+fik=")</f>
        <v>#VALUE!</v>
      </c>
      <c r="AQ6" t="e">
        <f>AND('Weekly Data Sheets'!F50,"AAAAAGO+fio=")</f>
        <v>#VALUE!</v>
      </c>
      <c r="AR6" t="e">
        <f>AND('Weekly Data Sheets'!G50,"AAAAAGO+fis=")</f>
        <v>#VALUE!</v>
      </c>
      <c r="AS6" t="e">
        <f>AND('Weekly Data Sheets'!H50,"AAAAAGO+fiw=")</f>
        <v>#VALUE!</v>
      </c>
      <c r="AT6" t="e">
        <f>AND('Weekly Data Sheets'!I50,"AAAAAGO+fi0=")</f>
        <v>#VALUE!</v>
      </c>
      <c r="AU6" t="e">
        <f>AND('Weekly Data Sheets'!J50,"AAAAAGO+fi4=")</f>
        <v>#VALUE!</v>
      </c>
      <c r="AV6" t="e">
        <f>AND('Weekly Data Sheets'!K50,"AAAAAGO+fi8=")</f>
        <v>#VALUE!</v>
      </c>
      <c r="AW6" t="e">
        <f>AND('Weekly Data Sheets'!L50,"AAAAAGO+fjA=")</f>
        <v>#VALUE!</v>
      </c>
      <c r="AX6" t="e">
        <f>AND('Weekly Data Sheets'!M50,"AAAAAGO+fjE=")</f>
        <v>#VALUE!</v>
      </c>
      <c r="AY6" t="e">
        <f>AND('Weekly Data Sheets'!N50,"AAAAAGO+fjI=")</f>
        <v>#VALUE!</v>
      </c>
      <c r="AZ6" t="e">
        <f>AND('Weekly Data Sheets'!O50,"AAAAAGO+fjM=")</f>
        <v>#VALUE!</v>
      </c>
      <c r="BA6" t="e">
        <f>AND('Weekly Data Sheets'!P50,"AAAAAGO+fjQ=")</f>
        <v>#VALUE!</v>
      </c>
      <c r="BB6" t="e">
        <f>AND('Weekly Data Sheets'!Q50,"AAAAAGO+fjU=")</f>
        <v>#VALUE!</v>
      </c>
      <c r="BC6" t="e">
        <f>AND('Weekly Data Sheets'!R50,"AAAAAGO+fjY=")</f>
        <v>#VALUE!</v>
      </c>
      <c r="BD6" t="e">
        <f>AND('Weekly Data Sheets'!S50,"AAAAAGO+fjc=")</f>
        <v>#VALUE!</v>
      </c>
      <c r="BE6" t="e">
        <f>AND('Weekly Data Sheets'!T50,"AAAAAGO+fjg=")</f>
        <v>#VALUE!</v>
      </c>
      <c r="BF6" t="e">
        <f>AND('Weekly Data Sheets'!U50,"AAAAAGO+fjk=")</f>
        <v>#VALUE!</v>
      </c>
      <c r="BG6" t="e">
        <f>AND('Weekly Data Sheets'!V50,"AAAAAGO+fjo=")</f>
        <v>#VALUE!</v>
      </c>
      <c r="BH6" t="e">
        <f>AND('Weekly Data Sheets'!W50,"AAAAAGO+fjs=")</f>
        <v>#VALUE!</v>
      </c>
      <c r="BI6" t="e">
        <f>AND('Weekly Data Sheets'!X50,"AAAAAGO+fjw=")</f>
        <v>#VALUE!</v>
      </c>
      <c r="BJ6" t="e">
        <f>AND('Weekly Data Sheets'!Y50,"AAAAAGO+fj0=")</f>
        <v>#VALUE!</v>
      </c>
      <c r="BK6" t="e">
        <f>AND('Weekly Data Sheets'!Z50,"AAAAAGO+fj4=")</f>
        <v>#VALUE!</v>
      </c>
      <c r="BL6" t="e">
        <f>AND('Weekly Data Sheets'!AA50,"AAAAAGO+fj8=")</f>
        <v>#VALUE!</v>
      </c>
      <c r="BM6">
        <f>IF('Weekly Data Sheets'!51:51,"AAAAAGO+fkA=",0)</f>
        <v>0</v>
      </c>
      <c r="BN6" t="e">
        <f>AND('Weekly Data Sheets'!A51,"AAAAAGO+fkE=")</f>
        <v>#VALUE!</v>
      </c>
      <c r="BO6" t="e">
        <f>AND('Weekly Data Sheets'!B51,"AAAAAGO+fkI=")</f>
        <v>#VALUE!</v>
      </c>
      <c r="BP6" t="e">
        <f>AND('Weekly Data Sheets'!C51,"AAAAAGO+fkM=")</f>
        <v>#VALUE!</v>
      </c>
      <c r="BQ6" t="e">
        <f>AND('Weekly Data Sheets'!D51,"AAAAAGO+fkQ=")</f>
        <v>#VALUE!</v>
      </c>
      <c r="BR6" t="e">
        <f>AND('Weekly Data Sheets'!E51,"AAAAAGO+fkU=")</f>
        <v>#VALUE!</v>
      </c>
      <c r="BS6" t="e">
        <f>AND('Weekly Data Sheets'!F51,"AAAAAGO+fkY=")</f>
        <v>#VALUE!</v>
      </c>
      <c r="BT6" t="e">
        <f>AND('Weekly Data Sheets'!G51,"AAAAAGO+fkc=")</f>
        <v>#VALUE!</v>
      </c>
      <c r="BU6" t="e">
        <f>AND('Weekly Data Sheets'!H51,"AAAAAGO+fkg=")</f>
        <v>#VALUE!</v>
      </c>
      <c r="BV6" t="e">
        <f>AND('Weekly Data Sheets'!I51,"AAAAAGO+fkk=")</f>
        <v>#VALUE!</v>
      </c>
      <c r="BW6" t="e">
        <f>AND('Weekly Data Sheets'!J51,"AAAAAGO+fko=")</f>
        <v>#VALUE!</v>
      </c>
      <c r="BX6" t="e">
        <f>AND('Weekly Data Sheets'!K51,"AAAAAGO+fks=")</f>
        <v>#VALUE!</v>
      </c>
      <c r="BY6" t="e">
        <f>AND('Weekly Data Sheets'!L51,"AAAAAGO+fkw=")</f>
        <v>#VALUE!</v>
      </c>
      <c r="BZ6" t="e">
        <f>AND('Weekly Data Sheets'!M51,"AAAAAGO+fk0=")</f>
        <v>#VALUE!</v>
      </c>
      <c r="CA6" t="e">
        <f>AND('Weekly Data Sheets'!N51,"AAAAAGO+fk4=")</f>
        <v>#VALUE!</v>
      </c>
      <c r="CB6" t="e">
        <f>AND('Weekly Data Sheets'!O51,"AAAAAGO+fk8=")</f>
        <v>#VALUE!</v>
      </c>
      <c r="CC6" t="e">
        <f>AND('Weekly Data Sheets'!P51,"AAAAAGO+flA=")</f>
        <v>#VALUE!</v>
      </c>
      <c r="CD6" t="e">
        <f>AND('Weekly Data Sheets'!Q51,"AAAAAGO+flE=")</f>
        <v>#VALUE!</v>
      </c>
      <c r="CE6" t="e">
        <f>AND('Weekly Data Sheets'!R51,"AAAAAGO+flI=")</f>
        <v>#VALUE!</v>
      </c>
      <c r="CF6" t="e">
        <f>AND('Weekly Data Sheets'!S51,"AAAAAGO+flM=")</f>
        <v>#VALUE!</v>
      </c>
      <c r="CG6" t="e">
        <f>AND('Weekly Data Sheets'!T51,"AAAAAGO+flQ=")</f>
        <v>#VALUE!</v>
      </c>
      <c r="CH6" t="e">
        <f>AND('Weekly Data Sheets'!U51,"AAAAAGO+flU=")</f>
        <v>#VALUE!</v>
      </c>
      <c r="CI6" t="e">
        <f>AND('Weekly Data Sheets'!V51,"AAAAAGO+flY=")</f>
        <v>#VALUE!</v>
      </c>
      <c r="CJ6" t="e">
        <f>AND('Weekly Data Sheets'!W51,"AAAAAGO+flc=")</f>
        <v>#VALUE!</v>
      </c>
      <c r="CK6" t="e">
        <f>AND('Weekly Data Sheets'!X51,"AAAAAGO+flg=")</f>
        <v>#VALUE!</v>
      </c>
      <c r="CL6" t="e">
        <f>AND('Weekly Data Sheets'!Y51,"AAAAAGO+flk=")</f>
        <v>#VALUE!</v>
      </c>
      <c r="CM6" t="e">
        <f>AND('Weekly Data Sheets'!Z51,"AAAAAGO+flo=")</f>
        <v>#VALUE!</v>
      </c>
      <c r="CN6" t="e">
        <f>AND('Weekly Data Sheets'!AA51,"AAAAAGO+fls=")</f>
        <v>#VALUE!</v>
      </c>
      <c r="CO6">
        <f>IF('Weekly Data Sheets'!52:52,"AAAAAGO+flw=",0)</f>
        <v>0</v>
      </c>
      <c r="CP6" t="e">
        <f>AND('Weekly Data Sheets'!A52,"AAAAAGO+fl0=")</f>
        <v>#VALUE!</v>
      </c>
      <c r="CQ6" t="e">
        <f>AND('Weekly Data Sheets'!B52,"AAAAAGO+fl4=")</f>
        <v>#VALUE!</v>
      </c>
      <c r="CR6" t="e">
        <f>AND('Weekly Data Sheets'!C52,"AAAAAGO+fl8=")</f>
        <v>#VALUE!</v>
      </c>
      <c r="CS6" t="e">
        <f>AND('Weekly Data Sheets'!D52,"AAAAAGO+fmA=")</f>
        <v>#VALUE!</v>
      </c>
      <c r="CT6" t="e">
        <f>AND('Weekly Data Sheets'!E52,"AAAAAGO+fmE=")</f>
        <v>#VALUE!</v>
      </c>
      <c r="CU6" t="e">
        <f>AND('Weekly Data Sheets'!F52,"AAAAAGO+fmI=")</f>
        <v>#VALUE!</v>
      </c>
      <c r="CV6" t="e">
        <f>AND('Weekly Data Sheets'!G52,"AAAAAGO+fmM=")</f>
        <v>#VALUE!</v>
      </c>
      <c r="CW6" t="e">
        <f>AND('Weekly Data Sheets'!H52,"AAAAAGO+fmQ=")</f>
        <v>#VALUE!</v>
      </c>
      <c r="CX6" t="e">
        <f>AND('Weekly Data Sheets'!I52,"AAAAAGO+fmU=")</f>
        <v>#VALUE!</v>
      </c>
      <c r="CY6" t="e">
        <f>AND('Weekly Data Sheets'!J52,"AAAAAGO+fmY=")</f>
        <v>#VALUE!</v>
      </c>
      <c r="CZ6" t="e">
        <f>AND('Weekly Data Sheets'!K52,"AAAAAGO+fmc=")</f>
        <v>#VALUE!</v>
      </c>
      <c r="DA6" t="e">
        <f>AND('Weekly Data Sheets'!L52,"AAAAAGO+fmg=")</f>
        <v>#VALUE!</v>
      </c>
      <c r="DB6" t="e">
        <f>AND('Weekly Data Sheets'!M52,"AAAAAGO+fmk=")</f>
        <v>#VALUE!</v>
      </c>
      <c r="DC6" t="e">
        <f>AND('Weekly Data Sheets'!N52,"AAAAAGO+fmo=")</f>
        <v>#VALUE!</v>
      </c>
      <c r="DD6" t="e">
        <f>AND('Weekly Data Sheets'!O52,"AAAAAGO+fms=")</f>
        <v>#VALUE!</v>
      </c>
      <c r="DE6" t="e">
        <f>AND('Weekly Data Sheets'!P52,"AAAAAGO+fmw=")</f>
        <v>#VALUE!</v>
      </c>
      <c r="DF6" t="e">
        <f>AND('Weekly Data Sheets'!Q52,"AAAAAGO+fm0=")</f>
        <v>#VALUE!</v>
      </c>
      <c r="DG6" t="e">
        <f>AND('Weekly Data Sheets'!R52,"AAAAAGO+fm4=")</f>
        <v>#VALUE!</v>
      </c>
      <c r="DH6" t="e">
        <f>AND('Weekly Data Sheets'!S52,"AAAAAGO+fm8=")</f>
        <v>#VALUE!</v>
      </c>
      <c r="DI6" t="e">
        <f>AND('Weekly Data Sheets'!T52,"AAAAAGO+fnA=")</f>
        <v>#VALUE!</v>
      </c>
      <c r="DJ6" t="e">
        <f>AND('Weekly Data Sheets'!U52,"AAAAAGO+fnE=")</f>
        <v>#VALUE!</v>
      </c>
      <c r="DK6" t="e">
        <f>AND('Weekly Data Sheets'!V52,"AAAAAGO+fnI=")</f>
        <v>#VALUE!</v>
      </c>
      <c r="DL6" t="e">
        <f>AND('Weekly Data Sheets'!W52,"AAAAAGO+fnM=")</f>
        <v>#VALUE!</v>
      </c>
      <c r="DM6" t="e">
        <f>AND('Weekly Data Sheets'!X52,"AAAAAGO+fnQ=")</f>
        <v>#VALUE!</v>
      </c>
      <c r="DN6" t="e">
        <f>AND('Weekly Data Sheets'!Y52,"AAAAAGO+fnU=")</f>
        <v>#VALUE!</v>
      </c>
      <c r="DO6" t="e">
        <f>AND('Weekly Data Sheets'!Z52,"AAAAAGO+fnY=")</f>
        <v>#VALUE!</v>
      </c>
      <c r="DP6" t="e">
        <f>AND('Weekly Data Sheets'!AA52,"AAAAAGO+fnc=")</f>
        <v>#VALUE!</v>
      </c>
      <c r="DQ6">
        <f>IF('Weekly Data Sheets'!53:53,"AAAAAGO+fng=",0)</f>
        <v>0</v>
      </c>
      <c r="DR6" t="e">
        <f>AND('Weekly Data Sheets'!A53,"AAAAAGO+fnk=")</f>
        <v>#VALUE!</v>
      </c>
      <c r="DS6" t="e">
        <f>AND('Weekly Data Sheets'!B53,"AAAAAGO+fno=")</f>
        <v>#VALUE!</v>
      </c>
      <c r="DT6" t="e">
        <f>AND('Weekly Data Sheets'!C53,"AAAAAGO+fns=")</f>
        <v>#VALUE!</v>
      </c>
      <c r="DU6" t="e">
        <f>AND('Weekly Data Sheets'!D53,"AAAAAGO+fnw=")</f>
        <v>#VALUE!</v>
      </c>
      <c r="DV6" t="e">
        <f>AND('Weekly Data Sheets'!E53,"AAAAAGO+fn0=")</f>
        <v>#VALUE!</v>
      </c>
      <c r="DW6" t="e">
        <f>AND('Weekly Data Sheets'!F53,"AAAAAGO+fn4=")</f>
        <v>#VALUE!</v>
      </c>
      <c r="DX6" t="e">
        <f>AND('Weekly Data Sheets'!G53,"AAAAAGO+fn8=")</f>
        <v>#VALUE!</v>
      </c>
      <c r="DY6" t="e">
        <f>AND('Weekly Data Sheets'!H53,"AAAAAGO+foA=")</f>
        <v>#VALUE!</v>
      </c>
      <c r="DZ6" t="e">
        <f>AND('Weekly Data Sheets'!I53,"AAAAAGO+foE=")</f>
        <v>#VALUE!</v>
      </c>
      <c r="EA6" t="e">
        <f>AND('Weekly Data Sheets'!J53,"AAAAAGO+foI=")</f>
        <v>#VALUE!</v>
      </c>
      <c r="EB6" t="e">
        <f>AND('Weekly Data Sheets'!K53,"AAAAAGO+foM=")</f>
        <v>#VALUE!</v>
      </c>
      <c r="EC6" t="e">
        <f>AND('Weekly Data Sheets'!L53,"AAAAAGO+foQ=")</f>
        <v>#VALUE!</v>
      </c>
      <c r="ED6" t="e">
        <f>AND('Weekly Data Sheets'!M53,"AAAAAGO+foU=")</f>
        <v>#VALUE!</v>
      </c>
      <c r="EE6" t="e">
        <f>AND('Weekly Data Sheets'!N53,"AAAAAGO+foY=")</f>
        <v>#VALUE!</v>
      </c>
      <c r="EF6" t="e">
        <f>AND('Weekly Data Sheets'!O53,"AAAAAGO+foc=")</f>
        <v>#VALUE!</v>
      </c>
      <c r="EG6" t="e">
        <f>AND('Weekly Data Sheets'!P53,"AAAAAGO+fog=")</f>
        <v>#VALUE!</v>
      </c>
      <c r="EH6" t="e">
        <f>AND('Weekly Data Sheets'!Q53,"AAAAAGO+fok=")</f>
        <v>#VALUE!</v>
      </c>
      <c r="EI6" t="e">
        <f>AND('Weekly Data Sheets'!R53,"AAAAAGO+foo=")</f>
        <v>#VALUE!</v>
      </c>
      <c r="EJ6" t="e">
        <f>AND('Weekly Data Sheets'!S53,"AAAAAGO+fos=")</f>
        <v>#VALUE!</v>
      </c>
      <c r="EK6" t="e">
        <f>AND('Weekly Data Sheets'!T53,"AAAAAGO+fow=")</f>
        <v>#VALUE!</v>
      </c>
      <c r="EL6" t="e">
        <f>AND('Weekly Data Sheets'!U53,"AAAAAGO+fo0=")</f>
        <v>#VALUE!</v>
      </c>
      <c r="EM6" t="e">
        <f>AND('Weekly Data Sheets'!V53,"AAAAAGO+fo4=")</f>
        <v>#VALUE!</v>
      </c>
      <c r="EN6" t="e">
        <f>AND('Weekly Data Sheets'!W53,"AAAAAGO+fo8=")</f>
        <v>#VALUE!</v>
      </c>
      <c r="EO6" t="e">
        <f>AND('Weekly Data Sheets'!X53,"AAAAAGO+fpA=")</f>
        <v>#VALUE!</v>
      </c>
      <c r="EP6" t="e">
        <f>AND('Weekly Data Sheets'!Y53,"AAAAAGO+fpE=")</f>
        <v>#VALUE!</v>
      </c>
      <c r="EQ6" t="e">
        <f>AND('Weekly Data Sheets'!Z53,"AAAAAGO+fpI=")</f>
        <v>#VALUE!</v>
      </c>
      <c r="ER6" t="e">
        <f>AND('Weekly Data Sheets'!AA53,"AAAAAGO+fpM=")</f>
        <v>#VALUE!</v>
      </c>
      <c r="ES6">
        <f>IF('Weekly Data Sheets'!54:54,"AAAAAGO+fpQ=",0)</f>
        <v>0</v>
      </c>
      <c r="ET6" t="e">
        <f>AND('Weekly Data Sheets'!A54,"AAAAAGO+fpU=")</f>
        <v>#VALUE!</v>
      </c>
      <c r="EU6" t="e">
        <f>AND('Weekly Data Sheets'!B54,"AAAAAGO+fpY=")</f>
        <v>#VALUE!</v>
      </c>
      <c r="EV6" t="e">
        <f>AND('Weekly Data Sheets'!C54,"AAAAAGO+fpc=")</f>
        <v>#VALUE!</v>
      </c>
      <c r="EW6" t="e">
        <f>AND('Weekly Data Sheets'!D54,"AAAAAGO+fpg=")</f>
        <v>#VALUE!</v>
      </c>
      <c r="EX6" t="e">
        <f>AND('Weekly Data Sheets'!E54,"AAAAAGO+fpk=")</f>
        <v>#VALUE!</v>
      </c>
      <c r="EY6" t="e">
        <f>AND('Weekly Data Sheets'!F54,"AAAAAGO+fpo=")</f>
        <v>#VALUE!</v>
      </c>
      <c r="EZ6" t="e">
        <f>AND('Weekly Data Sheets'!G54,"AAAAAGO+fps=")</f>
        <v>#VALUE!</v>
      </c>
      <c r="FA6" t="e">
        <f>AND('Weekly Data Sheets'!H54,"AAAAAGO+fpw=")</f>
        <v>#VALUE!</v>
      </c>
      <c r="FB6" t="e">
        <f>AND('Weekly Data Sheets'!I54,"AAAAAGO+fp0=")</f>
        <v>#VALUE!</v>
      </c>
      <c r="FC6" t="e">
        <f>AND('Weekly Data Sheets'!J54,"AAAAAGO+fp4=")</f>
        <v>#VALUE!</v>
      </c>
      <c r="FD6" t="e">
        <f>AND('Weekly Data Sheets'!K54,"AAAAAGO+fp8=")</f>
        <v>#VALUE!</v>
      </c>
      <c r="FE6" t="e">
        <f>AND('Weekly Data Sheets'!L54,"AAAAAGO+fqA=")</f>
        <v>#VALUE!</v>
      </c>
      <c r="FF6" t="e">
        <f>AND('Weekly Data Sheets'!M54,"AAAAAGO+fqE=")</f>
        <v>#VALUE!</v>
      </c>
      <c r="FG6" t="e">
        <f>AND('Weekly Data Sheets'!N54,"AAAAAGO+fqI=")</f>
        <v>#VALUE!</v>
      </c>
      <c r="FH6" t="e">
        <f>AND('Weekly Data Sheets'!O54,"AAAAAGO+fqM=")</f>
        <v>#VALUE!</v>
      </c>
      <c r="FI6" t="e">
        <f>AND('Weekly Data Sheets'!P54,"AAAAAGO+fqQ=")</f>
        <v>#VALUE!</v>
      </c>
      <c r="FJ6" t="e">
        <f>AND('Weekly Data Sheets'!Q54,"AAAAAGO+fqU=")</f>
        <v>#VALUE!</v>
      </c>
      <c r="FK6" t="e">
        <f>AND('Weekly Data Sheets'!R54,"AAAAAGO+fqY=")</f>
        <v>#VALUE!</v>
      </c>
      <c r="FL6" t="e">
        <f>AND('Weekly Data Sheets'!S54,"AAAAAGO+fqc=")</f>
        <v>#VALUE!</v>
      </c>
      <c r="FM6" t="e">
        <f>AND('Weekly Data Sheets'!T54,"AAAAAGO+fqg=")</f>
        <v>#VALUE!</v>
      </c>
      <c r="FN6" t="e">
        <f>AND('Weekly Data Sheets'!U54,"AAAAAGO+fqk=")</f>
        <v>#VALUE!</v>
      </c>
      <c r="FO6" t="e">
        <f>AND('Weekly Data Sheets'!V54,"AAAAAGO+fqo=")</f>
        <v>#VALUE!</v>
      </c>
      <c r="FP6" t="e">
        <f>AND('Weekly Data Sheets'!W54,"AAAAAGO+fqs=")</f>
        <v>#VALUE!</v>
      </c>
      <c r="FQ6" t="e">
        <f>AND('Weekly Data Sheets'!X54,"AAAAAGO+fqw=")</f>
        <v>#VALUE!</v>
      </c>
      <c r="FR6" t="e">
        <f>AND('Weekly Data Sheets'!Y54,"AAAAAGO+fq0=")</f>
        <v>#VALUE!</v>
      </c>
      <c r="FS6" t="e">
        <f>AND('Weekly Data Sheets'!Z54,"AAAAAGO+fq4=")</f>
        <v>#VALUE!</v>
      </c>
      <c r="FT6" t="e">
        <f>AND('Weekly Data Sheets'!AA54,"AAAAAGO+fq8=")</f>
        <v>#VALUE!</v>
      </c>
      <c r="FU6">
        <f>IF('Weekly Data Sheets'!55:55,"AAAAAGO+frA=",0)</f>
        <v>0</v>
      </c>
      <c r="FV6" t="e">
        <f>AND('Weekly Data Sheets'!A55,"AAAAAGO+frE=")</f>
        <v>#VALUE!</v>
      </c>
      <c r="FW6" t="e">
        <f>AND('Weekly Data Sheets'!B55,"AAAAAGO+frI=")</f>
        <v>#VALUE!</v>
      </c>
      <c r="FX6">
        <f>IF('Weekly Data Sheets'!56:56,"AAAAAGO+frM=",0)</f>
        <v>0</v>
      </c>
      <c r="FY6" t="e">
        <f>AND('Weekly Data Sheets'!A56,"AAAAAGO+frQ=")</f>
        <v>#VALUE!</v>
      </c>
      <c r="FZ6" t="e">
        <f>AND('Weekly Data Sheets'!B56,"AAAAAGO+frU=")</f>
        <v>#VALUE!</v>
      </c>
      <c r="GA6">
        <f>IF('Weekly Data Sheets'!57:57,"AAAAAGO+frY=",0)</f>
        <v>0</v>
      </c>
      <c r="GB6" t="e">
        <f>AND('Weekly Data Sheets'!A57,"AAAAAGO+frc=")</f>
        <v>#VALUE!</v>
      </c>
      <c r="GC6" t="e">
        <f>AND('Weekly Data Sheets'!B57,"AAAAAGO+frg=")</f>
        <v>#VALUE!</v>
      </c>
      <c r="GD6">
        <f>IF('Weekly Data Sheets'!58:58,"AAAAAGO+frk=",0)</f>
        <v>0</v>
      </c>
      <c r="GE6" t="e">
        <f>AND('Weekly Data Sheets'!A58,"AAAAAGO+fro=")</f>
        <v>#VALUE!</v>
      </c>
      <c r="GF6" t="e">
        <f>AND('Weekly Data Sheets'!B58,"AAAAAGO+frs=")</f>
        <v>#VALUE!</v>
      </c>
      <c r="GG6">
        <f>IF('Weekly Data Sheets'!59:59,"AAAAAGO+frw=",0)</f>
        <v>0</v>
      </c>
      <c r="GH6" t="e">
        <f>AND('Weekly Data Sheets'!A59,"AAAAAGO+fr0=")</f>
        <v>#VALUE!</v>
      </c>
      <c r="GI6" t="e">
        <f>AND('Weekly Data Sheets'!B59,"AAAAAGO+fr4=")</f>
        <v>#VALUE!</v>
      </c>
      <c r="GJ6">
        <f>IF('Weekly Data Sheets'!60:60,"AAAAAGO+fr8=",0)</f>
        <v>0</v>
      </c>
      <c r="GK6" t="e">
        <f>AND('Weekly Data Sheets'!A60,"AAAAAGO+fsA=")</f>
        <v>#VALUE!</v>
      </c>
      <c r="GL6" t="e">
        <f>AND('Weekly Data Sheets'!B60,"AAAAAGO+fsE=")</f>
        <v>#VALUE!</v>
      </c>
      <c r="GM6">
        <f>IF('Weekly Data Sheets'!61:61,"AAAAAGO+fsI=",0)</f>
        <v>0</v>
      </c>
      <c r="GN6" t="e">
        <f>AND('Weekly Data Sheets'!A61,"AAAAAGO+fsM=")</f>
        <v>#VALUE!</v>
      </c>
      <c r="GO6" t="e">
        <f>AND('Weekly Data Sheets'!B61,"AAAAAGO+fsQ=")</f>
        <v>#VALUE!</v>
      </c>
      <c r="GP6">
        <f>IF('Weekly Data Sheets'!62:62,"AAAAAGO+fsU=",0)</f>
        <v>0</v>
      </c>
      <c r="GQ6" t="e">
        <f>AND('Weekly Data Sheets'!A62,"AAAAAGO+fsY=")</f>
        <v>#VALUE!</v>
      </c>
      <c r="GR6" t="e">
        <f>AND('Weekly Data Sheets'!B62,"AAAAAGO+fsc=")</f>
        <v>#VALUE!</v>
      </c>
      <c r="GS6">
        <f>IF('Weekly Data Sheets'!63:63,"AAAAAGO+fsg=",0)</f>
        <v>0</v>
      </c>
      <c r="GT6" t="e">
        <f>AND('Weekly Data Sheets'!A63,"AAAAAGO+fsk=")</f>
        <v>#VALUE!</v>
      </c>
      <c r="GU6" t="e">
        <f>AND('Weekly Data Sheets'!B63,"AAAAAGO+fso=")</f>
        <v>#VALUE!</v>
      </c>
      <c r="GV6">
        <f>IF('Weekly Data Sheets'!A:A,"AAAAAGO+fss=",0)</f>
        <v>0</v>
      </c>
      <c r="GW6" t="e">
        <f>IF('Weekly Data Sheets'!B:B,"AAAAAGO+fsw=",0)</f>
        <v>#VALUE!</v>
      </c>
      <c r="GX6">
        <f>IF('Weekly Data Sheets'!C:C,"AAAAAGO+fs0=",0)</f>
        <v>0</v>
      </c>
      <c r="GY6">
        <f>IF('Weekly Data Sheets'!D:D,"AAAAAGO+fs4=",0)</f>
        <v>0</v>
      </c>
      <c r="GZ6">
        <f>IF('Weekly Data Sheets'!E:E,"AAAAAGO+fs8=",0)</f>
        <v>0</v>
      </c>
      <c r="HA6" t="e">
        <f>IF('Weekly Data Sheets'!F:F,"AAAAAGO+ftA=",0)</f>
        <v>#VALUE!</v>
      </c>
      <c r="HB6">
        <f>IF('Weekly Data Sheets'!G:G,"AAAAAGO+ftE=",0)</f>
        <v>0</v>
      </c>
      <c r="HC6" t="e">
        <f>IF('Weekly Data Sheets'!H:H,"AAAAAGO+ftI=",0)</f>
        <v>#VALUE!</v>
      </c>
      <c r="HD6">
        <f>IF('Weekly Data Sheets'!I:I,"AAAAAGO+ftM=",0)</f>
        <v>0</v>
      </c>
      <c r="HE6">
        <f>IF('Weekly Data Sheets'!J:J,"AAAAAGO+ftQ=",0)</f>
        <v>0</v>
      </c>
      <c r="HF6">
        <f>IF('Weekly Data Sheets'!K:K,"AAAAAGO+ftU=",0)</f>
        <v>0</v>
      </c>
      <c r="HG6" t="e">
        <f>IF('Weekly Data Sheets'!L:L,"AAAAAGO+ftY=",0)</f>
        <v>#VALUE!</v>
      </c>
      <c r="HH6">
        <f>IF('Weekly Data Sheets'!M:M,"AAAAAGO+ftc=",0)</f>
        <v>0</v>
      </c>
      <c r="HI6">
        <f>IF('Weekly Data Sheets'!N:N,"AAAAAGO+ftg=",0)</f>
        <v>0</v>
      </c>
      <c r="HJ6">
        <f>IF('Weekly Data Sheets'!O:O,"AAAAAGO+ftk=",0)</f>
        <v>0</v>
      </c>
      <c r="HK6">
        <f>IF('Weekly Data Sheets'!P:P,"AAAAAGO+fto=",0)</f>
        <v>0</v>
      </c>
      <c r="HL6">
        <f>IF('Weekly Data Sheets'!Q:Q,"AAAAAGO+fts=",0)</f>
        <v>0</v>
      </c>
      <c r="HM6">
        <f>IF('Weekly Data Sheets'!R:R,"AAAAAGO+ftw=",0)</f>
        <v>0</v>
      </c>
      <c r="HN6">
        <f>IF('Weekly Data Sheets'!S:S,"AAAAAGO+ft0=",0)</f>
        <v>0</v>
      </c>
      <c r="HO6">
        <f>IF('Weekly Data Sheets'!T:T,"AAAAAGO+ft4=",0)</f>
        <v>0</v>
      </c>
      <c r="HP6">
        <f>IF('Weekly Data Sheets'!U:U,"AAAAAGO+ft8=",0)</f>
        <v>0</v>
      </c>
      <c r="HQ6">
        <f>IF('Weekly Data Sheets'!V:V,"AAAAAGO+fuA=",0)</f>
        <v>0</v>
      </c>
      <c r="HR6">
        <f>IF('Weekly Data Sheets'!W:W,"AAAAAGO+fuE=",0)</f>
        <v>0</v>
      </c>
      <c r="HS6">
        <f>IF('Weekly Data Sheets'!X:X,"AAAAAGO+fuI=",0)</f>
        <v>0</v>
      </c>
      <c r="HT6">
        <f>IF('Weekly Data Sheets'!Y:Y,"AAAAAGO+fuM=",0)</f>
        <v>0</v>
      </c>
      <c r="HU6">
        <f>IF('Weekly Data Sheets'!Z:Z,"AAAAAGO+fuQ=",0)</f>
        <v>0</v>
      </c>
      <c r="HV6">
        <f>IF('Weekly Data Sheets'!AA:AA,"AAAAAGO+fuU=",0)</f>
        <v>0</v>
      </c>
      <c r="HW6" s="27" t="s">
        <v>37</v>
      </c>
      <c r="HX6" t="s">
        <v>38</v>
      </c>
      <c r="HY6" t="e">
        <f>IF("N",'Weekly Data Sheets'!PRINT_AREA,"AAAAAGO+fug=")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4hourlife.com</dc:creator>
  <cp:keywords/>
  <dc:description/>
  <cp:lastModifiedBy>Stephen</cp:lastModifiedBy>
  <dcterms:created xsi:type="dcterms:W3CDTF">2005-12-08T03:41:10Z</dcterms:created>
  <dcterms:modified xsi:type="dcterms:W3CDTF">2011-05-30T02:02:08Z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1uDN8fwD7x3T0b4ur5grRlWolnjMMtlb-0GSonR1k34c</vt:lpwstr>
  </property>
  <property fmtid="{D5CDD505-2E9C-101B-9397-08002B2CF9AE}" pid="4" name="Google.Documents.RevisionId">
    <vt:lpwstr>12153875531241951826</vt:lpwstr>
  </property>
  <property fmtid="{D5CDD505-2E9C-101B-9397-08002B2CF9AE}" pid="5" name="Google.Documents.PluginVersion">
    <vt:lpwstr>2.0.2026.3768</vt:lpwstr>
  </property>
  <property fmtid="{D5CDD505-2E9C-101B-9397-08002B2CF9AE}" pid="6" name="Google.Documents.MergeIncapabilityFlags">
    <vt:i4>0</vt:i4>
  </property>
</Properties>
</file>